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7" yWindow="12" windowWidth="12732" windowHeight="7716"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<sst xmlns="http://schemas.openxmlformats.org/spreadsheetml/2006/main" count="3662" uniqueCount="2964">
  <si>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</si>
  <si>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</si>
  <si>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</si>
  <si>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</si>
  <si>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</si>
  <si>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</si>
  <si>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</si>
  <si>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</si>
  <si>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</si>
  <si>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</si>
  <si>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</si>
  <si>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</si>
  <si>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</si>
  <si>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</si>
  <si>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</si>
  <si>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</si>
  <si>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</si>
  <si>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</si>
  <si>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</si>
  <si>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</si>
  <si>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</si>
  <si>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</si>
  <si>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</si>
  <si>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</si>
  <si>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</si>
  <si>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</si>
  <si>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</si>
  <si>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</si>
  <si>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</si>
  <si>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</si>
  <si>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</si>
  <si>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</si>
  <si>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</si>
  <si>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</si>
  <si>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</si>
  <si>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</si>
  <si>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</si>
  <si>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</si>
  <si>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</si>
  <si>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</si>
  <si>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</si>
  <si>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</si>
  <si>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</si>
  <si>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</si>
  <si>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</si>
  <si>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</si>
  <si>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</si>
  <si>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</si>
  <si>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</si>
  <si>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</si>
  <si>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</si>
  <si>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</si>
  <si>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</si>
  <si>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</si>
  <si>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</si>
  <si>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</si>
  <si>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</si>
  <si>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</si>
  <si>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</si>
  <si>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</si>
  <si>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</si>
  <si>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</si>
  <si>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</si>
  <si>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</si>
  <si>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</si>
  <si>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</si>
  <si>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</si>
  <si>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</si>
  <si>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</si>
  <si>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</si>
  <si>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</si>
  <si>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</si>
  <si>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</si>
  <si>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</si>
  <si>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</si>
  <si>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</si>
  <si>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</si>
  <si>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</si>
  <si>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</si>
  <si>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</si>
  <si>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</si>
  <si>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</si>
  <si>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</si>
  <si>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</si>
  <si>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</si>
  <si>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</si>
  <si>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</si>
  <si>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</si>
  <si>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</si>
  <si>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</si>
  <si>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</si>
  <si>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</si>
  <si>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</si>
  <si>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</si>
  <si>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</si>
  <si>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</si>
  <si>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</si>
  <si>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</si>
  <si>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</si>
  <si>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</si>
  <si>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</si>
  <si>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</si>
  <si>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</si>
  <si>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</si>
  <si>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</si>
  <si>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</si>
  <si>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</si>
  <si>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</si>
  <si>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</si>
  <si>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</si>
  <si>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</si>
  <si>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</si>
  <si>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</si>
  <si>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</si>
  <si>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</si>
  <si>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</si>
  <si>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</si>
  <si>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</si>
  <si>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</si>
  <si>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</si>
  <si>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</si>
  <si>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</si>
  <si>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</si>
  <si>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</si>
  <si>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</si>
  <si>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</si>
  <si>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</si>
  <si>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</si>
  <si>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</si>
  <si>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</si>
  <si>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</si>
  <si>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</si>
  <si>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</si>
  <si>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</si>
  <si>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</si>
  <si>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</si>
  <si>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</si>
  <si>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</si>
  <si>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</si>
  <si>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</si>
  <si>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</si>
  <si>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</si>
  <si>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</si>
  <si>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</si>
  <si>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</si>
  <si>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</si>
  <si>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</si>
  <si>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</si>
  <si>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</si>
  <si>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</si>
  <si>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</si>
  <si>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</si>
  <si>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</si>
  <si>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</si>
  <si>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</si>
  <si>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</si>
  <si>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</si>
  <si>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</si>
  <si>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</si>
  <si>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</si>
  <si>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</si>
  <si>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</si>
  <si>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</si>
  <si>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</si>
  <si>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</si>
  <si>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</si>
  <si>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</si>
  <si>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</si>
  <si>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</si>
  <si>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</si>
  <si>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</si>
  <si>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</si>
  <si>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</si>
  <si>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</si>
  <si>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</si>
  <si>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</si>
  <si>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</si>
  <si>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</si>
  <si>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</si>
  <si>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</si>
  <si>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</si>
  <si>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</si>
  <si>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</si>
  <si>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</si>
  <si>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</si>
  <si>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</si>
  <si>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</si>
  <si>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</si>
  <si>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</si>
  <si>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</si>
  <si>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</si>
  <si>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</si>
  <si>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</si>
  <si>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</si>
  <si>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</si>
  <si>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</si>
  <si>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</si>
  <si>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</si>
  <si>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</si>
  <si>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</si>
  <si>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</si>
  <si>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</si>
  <si>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</si>
  <si>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</si>
  <si>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</si>
  <si>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</si>
  <si>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</si>
  <si>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</si>
  <si>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</si>
  <si>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</si>
  <si>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</si>
  <si>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</si>
  <si>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</si>
  <si>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</si>
  <si>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</si>
  <si>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</si>
  <si>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</si>
  <si>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</si>
  <si>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</si>
  <si>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</si>
  <si>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</si>
  <si>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</si>
  <si>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</si>
  <si>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</si>
  <si>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</si>
  <si>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</si>
  <si>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</si>
  <si>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</si>
  <si>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</si>
  <si>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</si>
  <si>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</si>
  <si>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</si>
  <si>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</si>
  <si>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</si>
  <si>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</si>
  <si>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</si>
  <si>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</si>
  <si>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</si>
  <si>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</si>
  <si>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</si>
  <si>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</si>
  <si>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</si>
  <si>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</si>
  <si>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</si>
  <si>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</si>
  <si>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</si>
  <si>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</si>
  <si>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</si>
  <si>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</si>
  <si>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</si>
  <si>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</si>
  <si>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</si>
  <si>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</si>
  <si>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</si>
  <si>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</si>
  <si>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</si>
  <si>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</si>
  <si>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</si>
  <si>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</si>
  <si>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</si>
  <si>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</si>
  <si>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</si>
  <si>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</si>
  <si>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</si>
  <si>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</si>
  <si>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</si>
  <si>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</si>
  <si>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</si>
  <si>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</si>
  <si>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</si>
  <si>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</si>
  <si>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</si>
  <si>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</si>
  <si>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</si>
  <si>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</si>
  <si>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</si>
  <si>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</si>
  <si>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</si>
  <si>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</si>
  <si>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</si>
  <si>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</si>
  <si>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</si>
  <si>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</si>
  <si>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</si>
  <si>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</si>
  <si>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</si>
  <si>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</si>
  <si>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</si>
  <si>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</si>
  <si>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</si>
  <si>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</si>
  <si>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</si>
  <si>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</si>
  <si>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</si>
  <si>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</si>
  <si>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</si>
  <si>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</si>
  <si>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</si>
  <si>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</si>
  <si>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</si>
  <si>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</si>
  <si>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</si>
  <si>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</si>
  <si>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</si>
  <si>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</si>
  <si>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</si>
  <si>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</si>
  <si>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</si>
  <si>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</si>
  <si>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</si>
  <si>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</si>
  <si>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</si>
  <si>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</si>
  <si>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</si>
  <si>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</si>
  <si>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</si>
  <si>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</si>
  <si>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</si>
  <si>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</si>
  <si>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</si>
  <si>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</si>
  <si>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</si>
  <si>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</si>
  <si>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</si>
  <si>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</si>
  <si>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</si>
  <si>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</si>
  <si>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</si>
  <si>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</si>
  <si>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</si>
  <si>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</si>
  <si>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</si>
  <si>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</si>
  <si>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</si>
  <si>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</si>
  <si>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</si>
  <si>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</si>
  <si>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</si>
  <si>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</si>
  <si>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</si>
  <si>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</si>
  <si>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</si>
  <si>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</si>
  <si>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</si>
  <si>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</si>
  <si>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</si>
  <si>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</si>
  <si>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</si>
  <si>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</si>
  <si>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</si>
  <si>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</si>
  <si>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</si>
  <si>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</si>
  <si>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</si>
  <si>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</si>
  <si>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</si>
  <si>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</si>
  <si>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</si>
  <si>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</si>
  <si>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</si>
  <si>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</si>
  <si>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</si>
  <si>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</si>
  <si>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</si>
  <si>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</si>
  <si>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</si>
  <si>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</si>
  <si>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</si>
  <si>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</si>
  <si>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</si>
  <si>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</si>
  <si>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</si>
  <si>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</si>
  <si>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</si>
  <si>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</si>
  <si>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</si>
  <si>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</si>
  <si>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</si>
  <si>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</si>
  <si>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</si>
  <si>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</si>
  <si>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</si>
  <si>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</si>
  <si>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</si>
  <si>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</si>
  <si>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</si>
  <si>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</si>
  <si>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</si>
  <si>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</si>
  <si>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</si>
  <si>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</si>
  <si>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</si>
  <si>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</si>
  <si>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</si>
  <si>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</si>
  <si>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</si>
  <si>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</si>
  <si>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</si>
  <si>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</si>
  <si>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</si>
  <si>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</si>
  <si>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</si>
  <si>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</si>
  <si>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</si>
  <si>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</si>
  <si>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</si>
  <si>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</si>
  <si>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</si>
  <si>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</si>
  <si>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</si>
  <si>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</si>
  <si>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</si>
  <si>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</si>
  <si>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</si>
  <si>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</si>
  <si>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</si>
  <si>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</si>
  <si>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</si>
  <si>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</si>
  <si>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</si>
  <si>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</si>
  <si>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</si>
  <si>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</si>
  <si>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</si>
  <si>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</si>
  <si>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</si>
  <si>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</si>
  <si>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</si>
  <si>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</si>
  <si>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</si>
  <si>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</si>
  <si>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</si>
  <si>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</si>
  <si>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</si>
  <si>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</si>
  <si>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</si>
  <si>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</si>
  <si>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</si>
  <si>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</si>
  <si>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</si>
  <si>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</si>
  <si>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</si>
  <si>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</si>
  <si>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</si>
  <si>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</si>
  <si>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</si>
  <si>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</si>
  <si>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</si>
  <si>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</si>
  <si>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</si>
  <si>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</si>
  <si>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</si>
  <si>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</si>
  <si>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</si>
  <si>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</si>
  <si>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</si>
  <si>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</si>
  <si>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</si>
  <si>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</si>
  <si>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</si>
  <si>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</si>
  <si>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</si>
  <si>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</si>
  <si>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</si>
  <si>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</si>
  <si>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</si>
  <si>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</si>
  <si>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</si>
  <si>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</si>
  <si>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</si>
  <si>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</si>
  <si>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</si>
  <si>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</si>
  <si>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</si>
  <si>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</si>
  <si>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</si>
  <si>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</si>
  <si>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</si>
  <si>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</si>
  <si>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</si>
  <si>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</si>
  <si>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</si>
  <si>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</si>
  <si>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</si>
  <si>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</si>
  <si>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</si>
  <si>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</si>
  <si>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</si>
  <si>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</si>
  <si>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</si>
  <si>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</si>
  <si>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</si>
  <si>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</si>
  <si>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</si>
  <si>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</si>
  <si>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</si>
  <si>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</si>
  <si>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</si>
  <si>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</si>
  <si>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</si>
  <si>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</si>
  <si>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</si>
  <si>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</si>
  <si>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</si>
  <si>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</si>
  <si>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</si>
  <si>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</si>
  <si>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</si>
  <si>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</si>
  <si>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</si>
  <si>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</si>
  <si>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</si>
  <si>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</si>
  <si>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</si>
  <si>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</si>
  <si>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</si>
  <si>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</si>
  <si>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</si>
  <si>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</si>
  <si>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</si>
  <si>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</si>
  <si>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</si>
  <si>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</si>
  <si>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</si>
  <si>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</si>
  <si>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</si>
  <si>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</si>
  <si>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</si>
  <si>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</si>
  <si>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</si>
  <si>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</si>
  <si>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</si>
  <si>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</si>
  <si>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</si>
  <si>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</si>
  <si>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</si>
  <si>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</si>
  <si>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</si>
  <si>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</si>
  <si>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</si>
  <si>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</si>
  <si>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</si>
  <si>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</si>
  <si>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</si>
  <si>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</si>
  <si>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</si>
  <si>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</si>
  <si>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</si>
  <si>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</si>
  <si>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</si>
  <si>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</si>
  <si>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</si>
  <si>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</si>
  <si>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</si>
  <si>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</si>
  <si>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</si>
  <si>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</si>
  <si>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</si>
  <si>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</si>
  <si>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</si>
  <si>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</si>
  <si>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</si>
  <si>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</si>
  <si>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</si>
  <si>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</si>
  <si>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</si>
  <si>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</si>
  <si>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</si>
  <si>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</si>
  <si>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</si>
  <si>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</si>
  <si>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</si>
  <si>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</si>
  <si>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</si>
  <si>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</si>
  <si>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</si>
  <si>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</si>
  <si>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</si>
  <si>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</si>
  <si>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</si>
  <si>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</si>
  <si>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</si>
  <si>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</si>
  <si>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</si>
  <si>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</si>
  <si>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</si>
  <si>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</si>
  <si>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</si>
  <si>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</si>
  <si>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</si>
  <si>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</si>
  <si>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</si>
  <si>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</si>
  <si>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</si>
  <si>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</si>
  <si>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</si>
  <si>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</si>
  <si>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</si>
  <si>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</si>
  <si>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</si>
  <si>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</si>
  <si>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</si>
  <si>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</si>
  <si>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</si>
  <si>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</si>
  <si>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</si>
  <si>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</si>
  <si>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</si>
  <si>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</si>
  <si>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</si>
  <si>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</si>
  <si>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</si>
  <si>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</si>
  <si>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</si>
  <si>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</si>
  <si>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</si>
  <si>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</si>
  <si>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</si>
  <si>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</si>
  <si>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</si>
  <si>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</si>
  <si>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</si>
  <si>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</si>
  <si>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</si>
  <si>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</si>
  <si>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</si>
  <si>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</si>
  <si>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</si>
  <si>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</si>
  <si>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</si>
  <si>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</si>
  <si>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</si>
  <si>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</si>
  <si>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</si>
  <si>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</si>
  <si>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</si>
  <si>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</si>
  <si>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</si>
  <si>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</si>
  <si>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</si>
  <si>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</si>
  <si>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</si>
  <si>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</si>
  <si>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</si>
  <si>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</si>
  <si>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</si>
  <si>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</si>
  <si>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</si>
  <si>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</si>
  <si>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</si>
  <si>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</si>
  <si>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</si>
  <si>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</si>
  <si>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</si>
  <si>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</si>
  <si>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</si>
  <si>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</si>
  <si>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</si>
  <si>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</si>
  <si>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</si>
  <si>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</si>
  <si>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</si>
  <si>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</si>
  <si>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</si>
  <si>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</si>
  <si>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</si>
  <si>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</si>
  <si>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</si>
  <si>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</si>
  <si>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</si>
  <si>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</si>
  <si>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</si>
  <si>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</si>
  <si>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</si>
  <si>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</si>
  <si>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</si>
  <si>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</si>
  <si>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</si>
  <si>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</si>
  <si>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</si>
  <si>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</si>
  <si>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</si>
  <si>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</si>
  <si>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</si>
  <si>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</si>
  <si>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</si>
  <si>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</si>
  <si>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</si>
  <si>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</si>
  <si>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</si>
  <si>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</si>
  <si>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</si>
  <si>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</si>
  <si>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</si>
  <si>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</si>
  <si>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</si>
  <si>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</si>
  <si>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</si>
  <si>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</si>
  <si>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</si>
  <si>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</si>
  <si>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</si>
  <si>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</si>
  <si>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</si>
  <si>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</si>
  <si>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</si>
  <si>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</si>
  <si>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</si>
  <si>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</si>
  <si>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</si>
  <si>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</si>
  <si>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</si>
  <si>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</si>
  <si>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</si>
  <si>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</si>
  <si>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</si>
  <si>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</si>
  <si>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</si>
  <si>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</si>
  <si>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</si>
  <si>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</si>
  <si>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</si>
  <si>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</si>
  <si>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</si>
  <si>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</si>
  <si>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</si>
  <si>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</si>
  <si>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</si>
  <si>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</si>
  <si>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</si>
  <si>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</si>
  <si>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</si>
  <si>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</si>
  <si>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</si>
  <si>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</si>
  <si>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</si>
  <si>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</si>
  <si>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</si>
  <si>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</si>
  <si>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</si>
  <si>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</si>
  <si>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</si>
  <si>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</si>
  <si>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</si>
  <si>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</si>
  <si>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</si>
  <si>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</si>
  <si>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</si>
  <si>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</si>
  <si>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</si>
  <si>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</si>
  <si>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</si>
  <si>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</si>
  <si>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</si>
  <si>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</si>
  <si>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</si>
  <si>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</si>
  <si>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</si>
  <si>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</si>
  <si>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</si>
  <si>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</si>
  <si>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</si>
  <si>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</si>
  <si>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</si>
  <si>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</si>
  <si>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</si>
  <si>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</si>
  <si>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</si>
  <si>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</si>
  <si>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</si>
  <si>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</si>
  <si>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</si>
  <si>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</si>
  <si>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</si>
  <si>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</si>
  <si>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</si>
  <si>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</si>
  <si>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</si>
  <si>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</si>
  <si>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</si>
  <si>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</si>
  <si>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</si>
  <si>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</si>
  <si>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</si>
  <si>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</si>
  <si>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</si>
  <si>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</si>
  <si>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</si>
  <si>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</si>
  <si>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</si>
  <si>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</si>
  <si>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</si>
  <si>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</si>
  <si>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</si>
  <si>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</si>
  <si>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</si>
  <si>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</si>
  <si>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</si>
  <si>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</si>
  <si>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</si>
  <si>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</si>
  <si>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</si>
  <si>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</si>
  <si>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</si>
  <si>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</si>
  <si>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</si>
  <si>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</si>
  <si>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</si>
  <si>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</si>
  <si>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</si>
  <si>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</si>
  <si>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</si>
  <si>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</si>
  <si>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</si>
  <si>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</si>
  <si>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</si>
  <si>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</si>
  <si>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</si>
  <si>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</si>
  <si>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</si>
  <si>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</si>
  <si>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</si>
  <si>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</si>
  <si>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</si>
  <si>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</si>
  <si>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</si>
  <si>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</si>
  <si>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</si>
  <si>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</si>
  <si>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</si>
  <si>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</si>
  <si>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</si>
  <si>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</si>
  <si>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</si>
  <si>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</si>
  <si>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</si>
  <si>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</si>
  <si>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</si>
  <si>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</si>
  <si>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</si>
  <si>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</si>
  <si>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</si>
  <si>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</si>
  <si>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</si>
  <si>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</si>
  <si>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</si>
  <si>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</si>
  <si>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</si>
  <si>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</si>
  <si>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</si>
  <si>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</si>
  <si>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</si>
  <si>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</si>
  <si>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</si>
  <si>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</si>
  <si>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</si>
  <si>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</si>
  <si>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</si>
  <si>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</si>
  <si>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</si>
  <si>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</si>
  <si>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</si>
  <si>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</si>
  <si>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</si>
  <si>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</si>
  <si>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</si>
  <si>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</si>
  <si>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</si>
  <si>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</si>
  <si>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</si>
  <si>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</si>
  <si>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</si>
  <si>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</si>
  <si>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</si>
  <si>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</si>
  <si>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</si>
  <si>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</si>
  <si>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</si>
  <si>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</si>
  <si>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</si>
  <si>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</si>
  <si>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</si>
  <si>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</si>
  <si>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</si>
  <si>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</si>
  <si>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</si>
  <si>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</si>
  <si>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</si>
  <si>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</si>
  <si>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</si>
  <si>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</si>
  <si>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</si>
  <si>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</si>
  <si>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</si>
  <si>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</si>
  <si>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</si>
  <si>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</si>
  <si>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</si>
  <si>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</si>
  <si>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</si>
  <si>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</si>
  <si>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</si>
  <si>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</si>
  <si>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</si>
  <si>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</si>
  <si>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</si>
  <si>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</si>
  <si>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</si>
  <si>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</si>
  <si>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</si>
  <si>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</si>
  <si>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</si>
  <si>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</si>
  <si>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</si>
  <si>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</si>
  <si>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</si>
  <si>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</si>
  <si>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</si>
  <si>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</si>
  <si>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</si>
  <si>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</si>
  <si>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</si>
  <si>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</si>
  <si>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</si>
  <si>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</si>
  <si>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</si>
  <si>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</si>
  <si>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</si>
  <si>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</si>
  <si>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</si>
  <si>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</si>
  <si>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</si>
  <si>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</si>
  <si>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</si>
  <si>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</si>
  <si>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</si>
  <si>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</si>
  <si>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</si>
  <si>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</si>
  <si>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</si>
  <si>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</si>
  <si>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</si>
  <si>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</si>
  <si>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</si>
  <si>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</si>
  <si>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</si>
  <si>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</si>
  <si>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</si>
  <si>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</si>
  <si>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</si>
  <si>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</si>
  <si>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</si>
  <si>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</si>
  <si>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</si>
  <si>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</si>
  <si>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</si>
  <si>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</si>
  <si>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</si>
  <si>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</si>
  <si>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</si>
  <si>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</si>
  <si>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</si>
  <si>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</si>
  <si>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</si>
  <si>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</si>
  <si>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</si>
  <si>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</si>
  <si>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</si>
  <si>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</si>
  <si>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</si>
  <si>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</si>
  <si>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</si>
  <si>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</si>
  <si>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</si>
  <si>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</si>
  <si>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</si>
  <si>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</si>
  <si>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</si>
  <si>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</si>
  <si>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</si>
  <si>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</si>
  <si>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</si>
  <si>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</si>
  <si>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</si>
  <si>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</si>
  <si>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</si>
  <si>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</si>
  <si>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</si>
  <si>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</si>
  <si>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</si>
  <si>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</si>
  <si>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</si>
  <si>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</si>
  <si>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</si>
  <si>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</si>
  <si>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</si>
  <si>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</si>
  <si>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</si>
  <si>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</si>
  <si>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</si>
  <si>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</si>
  <si>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</si>
  <si>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</si>
  <si>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</si>
  <si>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</si>
  <si>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</si>
  <si>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</si>
  <si>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</si>
  <si>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</si>
  <si>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</si>
  <si>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</si>
  <si>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</si>
  <si>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</si>
  <si>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</si>
  <si>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</si>
  <si>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</si>
  <si>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</si>
  <si>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</si>
  <si>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</si>
  <si>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</si>
  <si>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</si>
  <si>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</si>
  <si>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</si>
  <si>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</si>
  <si>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</si>
  <si>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</si>
  <si>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</si>
  <si>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</si>
  <si>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</si>
  <si>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</si>
  <si>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</si>
  <si>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</si>
  <si>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</si>
  <si>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</si>
  <si>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</si>
  <si>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</si>
  <si>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</si>
  <si>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</si>
  <si>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</si>
  <si>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</si>
  <si>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</si>
  <si>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</si>
  <si>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</si>
  <si>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</si>
  <si>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</si>
  <si>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</si>
  <si>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</si>
  <si>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</si>
  <si>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</si>
  <si>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</si>
  <si>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</si>
  <si>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</si>
  <si>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</si>
  <si>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</si>
  <si>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</si>
  <si>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</si>
  <si>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</si>
  <si>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</si>
  <si>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</si>
  <si>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</si>
  <si>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</si>
  <si>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</si>
  <si>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</si>
  <si>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</si>
  <si>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</si>
  <si>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</si>
  <si>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</si>
  <si>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</si>
  <si>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</si>
  <si>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</si>
  <si>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</si>
  <si>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</si>
  <si>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</si>
  <si>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</si>
  <si>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</si>
  <si>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</si>
  <si>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</si>
  <si>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</si>
  <si>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</si>
  <si>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</si>
  <si>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</si>
  <si>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</si>
  <si>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</si>
  <si>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</si>
  <si>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</si>
  <si>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</si>
  <si>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</si>
  <si>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</si>
  <si>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</si>
  <si>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</si>
  <si>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</si>
  <si>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</si>
  <si>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</si>
  <si>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</si>
  <si>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</si>
  <si>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</si>
  <si>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</si>
  <si>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</si>
  <si>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</si>
  <si>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</si>
  <si>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</si>
  <si>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</si>
  <si>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</si>
  <si>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</si>
  <si>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</si>
  <si>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</si>
  <si>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</si>
  <si>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</si>
  <si>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</si>
  <si>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</si>
  <si>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</si>
  <si>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</si>
  <si>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</si>
  <si>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</si>
  <si>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</si>
  <si>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</si>
  <si>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</si>
  <si>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</si>
  <si>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</si>
  <si>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</si>
  <si>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</si>
  <si>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</si>
  <si>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</si>
  <si>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</si>
  <si>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</si>
  <si>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</si>
  <si>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</si>
  <si>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</si>
  <si>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</si>
  <si>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</si>
  <si>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</si>
  <si>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</si>
  <si>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</si>
  <si>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</si>
  <si>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</si>
  <si>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</si>
  <si>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</si>
  <si>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</si>
  <si>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</si>
  <si>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</si>
  <si>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</si>
  <si>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</si>
  <si>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</si>
  <si>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</si>
  <si>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</si>
  <si>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</si>
  <si>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</si>
  <si>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</si>
  <si>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</si>
  <si>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</si>
  <si>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</si>
  <si>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</si>
  <si>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</si>
  <si>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</si>
  <si>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</si>
  <si>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</si>
  <si>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</si>
  <si>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</si>
  <si>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</si>
  <si>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</si>
  <si>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</si>
  <si>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</si>
  <si>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</si>
  <si>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</si>
  <si>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</si>
  <si>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</si>
  <si>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</si>
  <si>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</si>
  <si>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</si>
  <si>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</si>
  <si>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</si>
  <si>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</si>
  <si>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</si>
  <si>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</si>
  <si>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</si>
  <si>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</si>
  <si>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</si>
  <si>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</si>
  <si>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</si>
  <si>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</si>
  <si>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</si>
  <si>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</si>
  <si>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</si>
  <si>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</si>
  <si>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</si>
  <si>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</si>
  <si>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</si>
  <si>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</si>
  <si>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</si>
  <si>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</si>
  <si>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</si>
  <si>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</si>
  <si>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</si>
  <si>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</si>
  <si>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</si>
  <si>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</si>
  <si>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</si>
  <si>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</si>
  <si>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</si>
  <si>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</si>
  <si>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</si>
  <si>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</si>
  <si>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</si>
  <si>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</si>
  <si>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</si>
  <si>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</si>
  <si>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</si>
  <si>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</si>
  <si>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</si>
  <si>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</si>
  <si>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</si>
  <si>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</si>
  <si>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</si>
  <si>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</si>
  <si>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</si>
  <si>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</si>
  <si>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</si>
  <si>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</si>
  <si>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</si>
  <si>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</si>
  <si>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</si>
  <si>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</si>
  <si>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</si>
  <si>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</si>
  <si>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</si>
  <si>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</si>
  <si>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</si>
  <si>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</si>
  <si>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</si>
  <si>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</si>
  <si>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</si>
  <si>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</si>
  <si>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</si>
  <si>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</si>
  <si>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</si>
  <si>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</si>
  <si>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</si>
  <si>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</si>
  <si>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</si>
  <si>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</si>
  <si>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</si>
  <si>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</si>
  <si>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</si>
  <si>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</si>
  <si>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</si>
  <si>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</si>
  <si>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</si>
  <si>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</si>
  <si>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</si>
  <si>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</si>
  <si>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</si>
  <si>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</si>
  <si>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</si>
  <si>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</si>
  <si>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</si>
  <si>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</si>
  <si>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</si>
  <si>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</si>
  <si>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</si>
  <si>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</si>
  <si>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</si>
  <si>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</si>
  <si>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</si>
  <si>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</si>
  <si>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</si>
  <si>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</si>
  <si>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</si>
  <si>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</si>
  <si>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</si>
  <si>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</si>
  <si>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</si>
  <si>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</si>
  <si>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</si>
  <si>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</si>
  <si>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</si>
  <si>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</si>
  <si>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</si>
  <si>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</si>
  <si>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</si>
  <si>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</si>
  <si>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</si>
  <si>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</si>
  <si>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</si>
  <si>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</si>
  <si>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</si>
  <si>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</si>
  <si>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</si>
  <si>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</si>
  <si>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</si>
  <si>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</si>
  <si>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</si>
  <si>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</si>
  <si>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</si>
  <si>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</si>
  <si>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</si>
  <si>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</si>
  <si>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</si>
  <si>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</si>
  <si>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</si>
  <si>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</si>
  <si>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</si>
  <si>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</si>
  <si>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</si>
  <si>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</si>
  <si>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</si>
  <si>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</si>
  <si>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</si>
  <si>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</si>
  <si>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</si>
  <si>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</si>
  <si>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</si>
  <si>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</si>
  <si>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</si>
  <si>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</si>
  <si>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</si>
  <si>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</si>
  <si>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</si>
  <si>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</si>
  <si>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</si>
  <si>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</si>
  <si>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</si>
  <si>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</si>
  <si>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</si>
  <si>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</si>
  <si>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</si>
  <si>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</si>
  <si>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</si>
  <si>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</si>
  <si>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</si>
  <si>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</si>
  <si>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</si>
  <si>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</si>
  <si>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</si>
  <si>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</si>
  <si>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</si>
  <si>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</si>
  <si>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</si>
  <si>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</si>
  <si>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</si>
  <si>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</si>
  <si>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</si>
  <si>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</si>
  <si>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</si>
  <si>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</si>
  <si>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</si>
  <si>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</si>
  <si>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</si>
  <si>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</si>
  <si>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</si>
  <si>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</si>
  <si>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</si>
  <si>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</si>
  <si>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</si>
  <si>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</si>
  <si>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</si>
  <si>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</si>
  <si>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</si>
  <si>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</si>
  <si>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</si>
  <si>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</si>
  <si>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</si>
  <si>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</si>
  <si>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</si>
  <si>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</si>
  <si>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</si>
  <si>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</si>
  <si>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</si>
  <si>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</si>
  <si>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</si>
  <si>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</si>
  <si>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</si>
  <si>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</si>
  <si>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</si>
  <si>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</si>
  <si>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</si>
  <si>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</si>
  <si>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</si>
  <si>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</si>
  <si>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</si>
  <si>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</si>
  <si>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</si>
  <si>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</si>
  <si>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</si>
  <si>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</si>
  <si>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</si>
  <si>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</si>
  <si>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</si>
  <si>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</si>
  <si>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</si>
  <si>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</si>
  <si>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</si>
  <si>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</si>
  <si>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</si>
  <si>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</si>
  <si>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</si>
  <si>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</si>
  <si>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</si>
  <si>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</si>
  <si>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</si>
  <si>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</si>
  <si>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</si>
  <si>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</si>
  <si>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</si>
  <si>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</si>
  <si>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</si>
  <si>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</si>
  <si>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</si>
  <si>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</si>
  <si>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</si>
  <si>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</si>
  <si>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</si>
  <si>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</si>
  <si>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</si>
  <si>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</si>
  <si>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</si>
  <si>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</si>
  <si>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</si>
  <si>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</si>
  <si>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</si>
  <si>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</si>
  <si>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</si>
  <si>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</si>
  <si>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</si>
  <si>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</si>
  <si>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</si>
  <si>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</si>
  <si>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</si>
  <si>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</si>
  <si>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</si>
  <si>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</si>
  <si>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</si>
  <si>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</si>
  <si>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</si>
  <si>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</si>
  <si>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</si>
  <si>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</si>
  <si>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</si>
  <si>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</si>
  <si>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</si>
  <si>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</si>
  <si>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</si>
  <si>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</si>
  <si>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</si>
  <si>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</si>
  <si>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</si>
  <si>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</si>
  <si>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</si>
  <si>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</si>
  <si>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</si>
  <si>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</si>
  <si>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</si>
  <si>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</si>
  <si>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</si>
  <si>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</si>
  <si>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</si>
  <si>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</si>
  <si>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</si>
  <si>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</si>
  <si>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</si>
  <si>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</si>
  <si>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</si>
  <si>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</si>
  <si>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</si>
  <si>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</si>
  <si>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</si>
  <si>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</si>
  <si>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</si>
  <si>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</si>
  <si>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</si>
  <si>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</si>
  <si>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</si>
  <si>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</si>
  <si>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</si>
  <si>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</si>
  <si>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</si>
  <si>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</si>
  <si>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</si>
  <si>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</si>
  <si>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</si>
  <si>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</si>
  <si>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</si>
  <si>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</si>
  <si>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</si>
  <si>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</si>
  <si>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</si>
  <si>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</si>
  <si>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</si>
  <si>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</si>
  <si>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</si>
  <si>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</si>
  <si>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</si>
  <si>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</si>
  <si>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</si>
  <si>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</si>
  <si>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</si>
  <si>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</si>
  <si>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</si>
  <si>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</si>
  <si>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</si>
  <si>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</si>
  <si>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</si>
  <si>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</si>
  <si>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</si>
  <si>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</si>
  <si>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</si>
  <si>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</si>
  <si>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</si>
  <si>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</si>
  <si>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</si>
  <si>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</si>
  <si>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</si>
  <si>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</si>
  <si>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</si>
  <si>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</si>
  <si>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</si>
  <si>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</si>
  <si>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</si>
  <si>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</si>
  <si>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</si>
  <si>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</si>
  <si>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</si>
  <si>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</si>
  <si>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</si>
  <si>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</si>
  <si>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</si>
  <si>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</si>
  <si>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</si>
  <si>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</si>
  <si>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</si>
  <si>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</si>
  <si>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</si>
  <si>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</si>
  <si>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</si>
  <si>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</si>
  <si>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</si>
  <si>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</si>
  <si>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</si>
  <si>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</si>
  <si>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</si>
  <si>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</si>
  <si>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</si>
  <si>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</si>
  <si>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</si>
  <si>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</si>
  <si>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</si>
  <si>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</si>
  <si>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</si>
  <si>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</si>
  <si>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</si>
  <si>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</si>
  <si>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</si>
  <si>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</si>
  <si>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</si>
  <si>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</si>
  <si>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</si>
  <si>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</si>
  <si>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</si>
  <si>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</si>
  <si>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</si>
  <si>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</si>
  <si>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</si>
  <si>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</si>
  <si>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</si>
  <si>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</si>
  <si>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</si>
  <si>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</si>
  <si>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</si>
  <si>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</si>
  <si>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</si>
  <si>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</si>
  <si>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</si>
  <si>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</si>
  <si>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</si>
  <si>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</si>
  <si>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</si>
  <si>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</si>
  <si>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</si>
  <si>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</si>
  <si>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</si>
  <si>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</si>
  <si>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</si>
  <si>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</si>
  <si>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</si>
  <si>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</si>
  <si>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</si>
  <si>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</si>
  <si>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</si>
  <si>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</si>
  <si>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</si>
  <si>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</si>
  <si>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</si>
  <si>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</si>
  <si>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</si>
  <si>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</si>
  <si>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</si>
  <si>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</si>
  <si>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</si>
  <si>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</si>
  <si>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</si>
  <si>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</si>
  <si>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</si>
  <si>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</si>
  <si>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</si>
  <si>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</si>
  <si>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</si>
  <si>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</si>
  <si>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</si>
  <si>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</si>
  <si>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</si>
  <si>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</si>
  <si>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</si>
  <si>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</si>
  <si>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</si>
  <si>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</si>
  <si>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</si>
  <si>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</si>
  <si>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</si>
  <si>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</si>
  <si>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</si>
  <si>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</si>
  <si>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</si>
  <si>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</si>
  <si>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</si>
  <si>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</si>
  <si>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</si>
  <si>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</si>
  <si>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</si>
  <si>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</si>
  <si>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</si>
  <si>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</si>
  <si>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</si>
  <si>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</si>
  <si>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</si>
  <si>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</si>
  <si>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</si>
  <si>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</si>
  <si>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</si>
  <si>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</si>
  <si>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</si>
  <si>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</si>
  <si>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</si>
  <si>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</si>
  <si>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</si>
  <si>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</si>
  <si>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</si>
  <si>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</si>
  <si>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</si>
  <si>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</si>
  <si>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</si>
  <si>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</si>
  <si>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</si>
  <si>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</si>
  <si>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</si>
  <si>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</si>
  <si>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</si>
  <si>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</si>
  <si>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</si>
  <si>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</si>
  <si>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</si>
  <si>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</si>
  <si>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</si>
  <si>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</si>
  <si>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</si>
  <si>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</si>
  <si>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</si>
  <si>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</si>
  <si>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</si>
  <si>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</si>
  <si>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</si>
  <si>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</si>
  <si>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</si>
  <si>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</si>
  <si>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</si>
  <si>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</si>
  <si>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</si>
  <si>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</si>
  <si>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</si>
  <si>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</si>
  <si>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</si>
  <si>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</si>
  <si>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</si>
  <si>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</si>
  <si>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</si>
  <si>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</si>
  <si>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</si>
  <si>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</si>
  <si>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</si>
  <si>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</si>
  <si>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</si>
  <si>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</si>
  <si>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</si>
  <si>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</si>
  <si>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</si>
  <si>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</si>
  <si>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</si>
  <si>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</si>
  <si>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</si>
  <si>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</si>
  <si>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</si>
  <si>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</si>
  <si>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</si>
  <si>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</si>
  <si>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</si>
  <si>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</si>
  <si>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</si>
  <si>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</si>
  <si>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</si>
  <si>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</si>
  <si>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</si>
  <si>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</si>
  <si>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</si>
  <si>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</si>
  <si>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</si>
  <si>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</si>
  <si>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</si>
  <si>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</si>
  <si>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</si>
  <si>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</si>
  <si>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</si>
  <si>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</si>
  <si>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</si>
  <si>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</si>
  <si>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</si>
  <si>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</si>
  <si>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</si>
  <si>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</si>
  <si>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</si>
  <si>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</si>
  <si>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</si>
  <si>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</si>
  <si>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</si>
  <si>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</si>
  <si>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</si>
  <si>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</si>
  <si>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</si>
  <si>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</si>
  <si>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</si>
  <si>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</si>
  <si>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</si>
  <si>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</si>
  <si>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</si>
  <si>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</si>
  <si>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</si>
  <si>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</si>
  <si>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</si>
  <si>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</si>
  <si>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</si>
  <si>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</si>
  <si>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</si>
  <si>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</si>
  <si>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</si>
  <si>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</si>
  <si>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</si>
  <si>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</si>
  <si>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</si>
  <si>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</si>
  <si>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</si>
  <si>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</si>
  <si>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</si>
  <si>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</si>
  <si>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</si>
  <si>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</si>
  <si>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</si>
  <si>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</si>
  <si>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</si>
  <si>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</si>
  <si>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</si>
  <si>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</si>
  <si>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</si>
  <si>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</si>
  <si>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</si>
  <si>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</si>
  <si>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</si>
  <si>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</si>
  <si>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</si>
  <si>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</si>
  <si>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</si>
  <si>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</si>
  <si>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</si>
  <si>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</si>
  <si>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</si>
  <si>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</si>
  <si>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</si>
  <si>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</si>
  <si>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</si>
  <si>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</si>
  <si>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</si>
  <si>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</si>
  <si>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</si>
  <si>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</si>
  <si>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</si>
  <si>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</si>
  <si>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</si>
  <si>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</si>
  <si>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</si>
  <si>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</si>
  <si>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</si>
  <si>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</si>
  <si>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</si>
  <si>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</si>
  <si>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</si>
  <si>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</si>
  <si>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</si>
  <si>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</si>
  <si>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</si>
  <si>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</si>
  <si>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</si>
  <si>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</si>
  <si>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</si>
  <si>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</si>
  <si>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</si>
  <si>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</si>
  <si>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</si>
  <si>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</si>
  <si>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</si>
  <si>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</si>
  <si>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</si>
  <si>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</si>
  <si>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</si>
  <si>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</si>
  <si>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</si>
  <si>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</si>
  <si>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</si>
  <si>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</si>
  <si>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</si>
  <si>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</si>
  <si>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</si>
  <si>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</si>
  <si>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</si>
  <si>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</si>
  <si>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</si>
  <si>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</si>
  <si>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</si>
  <si>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</si>
  <si>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</si>
  <si>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</si>
  <si>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</si>
  <si>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</si>
  <si>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</si>
  <si>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</si>
  <si>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</si>
  <si>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</si>
  <si>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</si>
  <si>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</si>
  <si>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</si>
  <si>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</si>
  <si>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</si>
  <si>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</si>
  <si>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</si>
  <si>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</si>
  <si>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</si>
  <si>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</si>
  <si>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</si>
  <si>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</si>
  <si>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</si>
  <si>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</si>
  <si>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</si>
  <si>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</si>
  <si>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</si>
  <si>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</si>
  <si>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</si>
  <si>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</si>
  <si>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</si>
  <si>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</si>
  <si>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</si>
  <si>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</si>
  <si>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</si>
  <si>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</si>
  <si>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</si>
  <si>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</si>
  <si>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</si>
  <si>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</si>
  <si>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</si>
  <si>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</si>
  <si>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</si>
  <si>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</si>
  <si>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</si>
  <si>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</si>
  <si>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</si>
  <si>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</si>
  <si>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</si>
  <si>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</si>
  <si>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</si>
  <si>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</si>
  <si>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</si>
  <si>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</si>
  <si>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</si>
  <si>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</si>
  <si>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</si>
  <si>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</si>
  <si>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</si>
  <si>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</si>
  <si>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</si>
  <si>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</si>
  <si>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</si>
  <si>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</si>
  <si>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</si>
  <si>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</si>
  <si>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</si>
  <si>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</si>
  <si>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</si>
  <si>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</si>
  <si>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</si>
  <si>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</si>
  <si>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</si>
  <si>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</si>
  <si>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</si>
  <si>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</si>
  <si>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</si>
  <si>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</si>
  <si>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</si>
  <si>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</si>
  <si>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</si>
  <si>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</si>
  <si>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</si>
  <si>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</si>
  <si>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</si>
  <si>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</si>
  <si>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</si>
  <si>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</si>
  <si>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</si>
  <si>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</si>
  <si>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</si>
  <si>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</si>
  <si>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</si>
  <si>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</si>
  <si>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</si>
  <si>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</si>
  <si>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</si>
  <si>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</si>
  <si>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</si>
  <si>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</si>
  <si>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</si>
  <si>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</si>
  <si>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</si>
  <si>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</si>
  <si>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</si>
  <si>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</si>
  <si>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</si>
  <si>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</si>
  <si>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</si>
  <si>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</si>
  <si>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</si>
  <si>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</si>
  <si>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</si>
  <si>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</si>
  <si>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</si>
  <si>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</si>
  <si>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</si>
  <si>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</si>
  <si>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</si>
  <si>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</si>
  <si>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</si>
  <si>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</si>
  <si>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</si>
  <si>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</si>
  <si>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</si>
  <si>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</si>
  <si>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</si>
  <si>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</si>
  <si>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</si>
  <si>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</si>
  <si>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</si>
  <si>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</si>
  <si>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</si>
  <si>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</si>
  <si>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</si>
  <si>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</si>
  <si>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</si>
  <si>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</si>
  <si>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</si>
  <si>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</si>
  <si>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</si>
  <si>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</si>
  <si>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</si>
  <si>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</si>
  <si>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</si>
  <si>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</si>
  <si>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</si>
  <si>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</si>
  <si>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</si>
  <si>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</si>
  <si>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</si>
  <si>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</si>
  <si>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</si>
  <si>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</si>
  <si>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</si>
  <si>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</si>
  <si>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</si>
  <si>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</si>
  <si>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</si>
  <si>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</si>
  <si>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</si>
  <si>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</si>
  <si>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</si>
  <si>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</si>
  <si>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</si>
  <si>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</si>
  <si>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</si>
  <si>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</si>
  <si>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</si>
  <si>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</si>
  <si>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</si>
  <si>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</si>
  <si>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</si>
  <si>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</si>
  <si>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</si>
  <si>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</si>
  <si>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</si>
  <si>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</si>
  <si>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</si>
  <si>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</si>
  <si>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</si>
  <si>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</si>
  <si>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</si>
  <si>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</si>
  <si>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</si>
  <si>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</si>
  <si>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</si>
  <si>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</si>
  <si>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</si>
  <si>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</si>
  <si>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</si>
  <si>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</si>
  <si>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</si>
  <si>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</si>
  <si>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</si>
  <si>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</si>
  <si>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</si>
  <si>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</si>
  <si>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</si>
  <si>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</si>
  <si>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</si>
  <si>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</si>
  <si>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</si>
  <si>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</si>
  <si>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</si>
  <si>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</si>
  <si>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</si>
  <si>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</si>
  <si>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</si>
  <si>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</si>
  <si>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</si>
  <si>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</si>
  <si>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</si>
  <si>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</si>
  <si>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</si>
  <si>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</si>
  <si>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</si>
  <si>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</si>
  <si>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</si>
  <si>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</si>
  <si>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</si>
  <si>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</si>
  <si>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</si>
  <si>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</si>
  <si>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</si>
  <si>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</si>
  <si>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</si>
  <si>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</si>
  <si>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</si>
  <si>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</si>
  <si>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</si>
  <si>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</si>
  <si>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</si>
  <si>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</si>
  <si>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</si>
  <si>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</si>
  <si>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</si>
  <si>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</si>
  <si>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</si>
  <si>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</si>
  <si>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</si>
  <si>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</si>
  <si>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</si>
  <si>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</si>
  <si>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</si>
  <si>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</si>
  <si>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</si>
  <si>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</si>
  <si>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</si>
  <si>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</si>
  <si>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</si>
  <si>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</si>
  <si>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</si>
  <si>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</si>
  <si>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</si>
  <si>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</si>
  <si>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</si>
  <si>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</si>
  <si>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</si>
  <si>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</si>
  <si>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</si>
  <si>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</si>
  <si>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</si>
  <si>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</si>
  <si>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</si>
  <si>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</si>
  <si>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</si>
  <si>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</si>
  <si>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</si>
  <si>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</si>
  <si>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</si>
  <si>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</si>
  <si>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</si>
  <si>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</si>
  <si>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</si>
  <si>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</si>
  <si>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</si>
  <si>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</si>
  <si>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</si>
  <si>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</si>
  <si>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</si>
  <si>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</si>
  <si>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</si>
  <si>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</si>
  <si>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</si>
  <si>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</si>
  <si>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</si>
  <si>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</si>
  <si>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</si>
  <si>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</si>
  <si>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</si>
  <si>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</si>
  <si>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</si>
  <si>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</si>
  <si>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</si>
  <si>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</si>
  <si>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</si>
  <si>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</si>
  <si>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</si>
  <si>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</si>
  <si>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</si>
  <si>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</si>
  <si>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</si>
  <si>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</si>
  <si>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</si>
  <si>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</si>
  <si>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</si>
  <si>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</si>
  <si>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</si>
  <si>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</si>
  <si>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</si>
  <si>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</si>
  <si>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</si>
  <si>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</si>
  <si>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</si>
  <si>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</si>
  <si>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</si>
  <si>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</si>
  <si>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</si>
  <si>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</si>
  <si>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</si>
  <si>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</si>
  <si>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</si>
  <si>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</si>
  <si>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</si>
  <si>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</si>
  <si>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</si>
  <si>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</si>
  <si>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</si>
  <si>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</si>
  <si>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</si>
  <si>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</si>
  <si>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</si>
  <si>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</si>
  <si>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</si>
  <si>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</si>
  <si>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</si>
  <si>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</si>
  <si>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</si>
  <si>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</si>
  <si>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</si>
  <si>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</si>
  <si>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</si>
  <si>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</si>
  <si>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</si>
  <si>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</si>
  <si>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</si>
  <si>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</si>
  <si>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</si>
  <si>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</si>
  <si>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</si>
  <si>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</si>
  <si>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</si>
  <si>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</si>
  <si>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</si>
  <si>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</si>
  <si>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</si>
  <si>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</si>
  <si>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</si>
  <si>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</si>
  <si>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</si>
  <si>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</si>
  <si>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</si>
  <si>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</si>
  <si>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</si>
  <si>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</si>
  <si>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</si>
  <si>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</si>
  <si>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</si>
  <si>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</si>
  <si>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</si>
  <si>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</si>
  <si>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</si>
  <si>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</si>
  <si>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</si>
  <si>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</si>
  <si>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</si>
  <si>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</si>
  <si>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</si>
  <si>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</si>
  <si>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</si>
  <si>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</si>
  <si>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</si>
  <si>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</si>
  <si>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</si>
  <si>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</si>
  <si>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</si>
  <si>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</si>
  <si>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</si>
  <si>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</si>
  <si>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</si>
  <si>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</si>
  <si>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</si>
  <si>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</si>
  <si>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</si>
  <si>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</si>
  <si>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</si>
  <si>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</si>
  <si>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</si>
  <si>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</si>
  <si>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</si>
  <si>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</si>
  <si>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</si>
  <si>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</si>
  <si>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</si>
  <si>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</si>
  <si>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</si>
  <si>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</si>
  <si>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</si>
  <si>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</si>
  <si>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</si>
  <si>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</si>
  <si>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</si>
  <si>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</si>
  <si>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</si>
  <si>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</si>
  <si>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</si>
  <si>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</si>
  <si>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</si>
  <si>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</si>
  <si>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</si>
  <si>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</si>
  <si>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</si>
  <si>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</si>
  <si>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</si>
  <si>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</si>
  <si>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</si>
  <si>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</si>
  <si>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</si>
  <si>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</si>
  <si>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</si>
  <si>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</si>
  <si>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</si>
  <si>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</si>
  <si>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</si>
  <si>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</si>
  <si>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</si>
  <si>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</si>
  <si>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</si>
  <si>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</si>
  <si>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</si>
  <si>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</si>
  <si>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</si>
  <si>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</si>
  <si>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</si>
  <si>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</si>
  <si>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</si>
  <si>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</si>
  <si>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</si>
  <si>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</si>
  <si>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</si>
  <si>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</si>
  <si>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</si>
  <si>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</si>
  <si>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</si>
  <si>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</si>
  <si>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</si>
  <si>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</si>
  <si>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</si>
  <si>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</si>
  <si>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</si>
  <si>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</si>
  <si>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</si>
  <si>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</si>
  <si>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</si>
  <si>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</si>
  <si>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</si>
  <si>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</si>
  <si>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</si>
  <si>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</si>
  <si>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</si>
  <si>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</si>
  <si>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</si>
  <si>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</si>
  <si>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</si>
  <si>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</si>
  <si>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</si>
  <si>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</si>
  <si>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</si>
  <si>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</si>
  <si>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</si>
  <si>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</si>
  <si>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</si>
  <si>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</si>
  <si>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</si>
  <si>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</si>
  <si>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</si>
  <si>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</si>
  <si>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</si>
  <si>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</si>
  <si>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</si>
  <si>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</si>
  <si>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</si>
  <si>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</si>
  <si>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</si>
  <si>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</si>
  <si>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</si>
  <si>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</si>
  <si>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</si>
  <si>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</si>
  <si>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</si>
  <si>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</si>
  <si>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</si>
  <si>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</si>
  <si>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</si>
  <si>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</si>
  <si>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</si>
  <si>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</si>
  <si>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</si>
  <si>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</si>
  <si>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</si>
  <si>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</si>
  <si>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</si>
  <si>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</si>
  <si>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</si>
  <si>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</si>
  <si>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</si>
  <si>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</si>
  <si>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</si>
  <si>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</si>
  <si>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</si>
  <si>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</si>
  <si>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</si>
  <si>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</si>
  <si>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</si>
  <si>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</si>
  <si>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</si>
  <si>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</si>
  <si>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</si>
  <si>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</si>
  <si>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</si>
  <si>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</si>
  <si>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</si>
  <si>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</si>
  <si>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</si>
  <si>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</si>
  <si>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</si>
  <si>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</si>
  <si>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</si>
  <si>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</si>
  <si>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</si>
  <si>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</si>
  <si>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</si>
  <si>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</si>
  <si>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</si>
  <si>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</si>
  <si>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</si>
  <si>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</si>
  <si>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</si>
  <si>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</si>
  <si>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</si>
  <si>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</si>
  <si>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</si>
  <si>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</si>
  <si>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</si>
  <si>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</si>
  <si>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</si>
  <si>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</si>
  <si>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</si>
  <si>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</si>
  <si>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</si>
  <si>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</si>
  <si>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</si>
  <si>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</si>
  <si>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</si>
  <si>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</si>
  <si>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</si>
  <si>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</si>
  <si>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</si>
  <si>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</si>
  <si>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</si>
  <si>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</si>
  <si>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</si>
  <si>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</si>
  <si>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</si>
  <si>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</si>
  <si>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</si>
  <si>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</si>
  <si>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</si>
  <si>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</si>
  <si>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</si>
  <si>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</si>
  <si>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</si>
  <si>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</si>
  <si>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</si>
  <si>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</si>
  <si>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</si>
  <si>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</si>
  <si>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</si>
  <si>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</si>
  <si>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</si>
  <si>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</si>
  <si>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</si>
  <si>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</si>
  <si>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</si>
  <si>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</si>
  <si>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</si>
  <si>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</si>
  <si>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</si>
  <si>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</si>
  <si>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</si>
  <si>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</si>
  <si>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</si>
  <si>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</si>
  <si>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</si>
  <si>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</si>
  <si>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</si>
  <si>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</si>
  <si>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</si>
  <si>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</si>
  <si>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</si>
  <si>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</si>
  <si>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</si>
  <si>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</si>
  <si>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</si>
  <si>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</si>
  <si>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</si>
  <si>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</si>
  <si>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</si>
  <si>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</si>
  <si>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</si>
  <si>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</si>
  <si>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</si>
  <si>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</si>
  <si>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</si>
  <si>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</si>
  <si>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</si>
  <si>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</si>
  <si>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</si>
  <si>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</si>
  <si>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</si>
  <si>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</si>
  <si>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</si>
  <si>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</si>
  <si>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</si>
  <si>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</si>
  <si>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</si>
  <si>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</si>
  <si>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</si>
  <si>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</si>
  <si>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</si>
  <si>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</si>
  <si>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</si>
  <si>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</si>
  <si>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</si>
  <si>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</si>
  <si>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</si>
  <si>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</si>
  <si>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</si>
  <si>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</si>
  <si>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</si>
  <si>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</si>
  <si>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</si>
  <si>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</si>
  <si>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</si>
  <si>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</si>
  <si>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</si>
  <si>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</si>
  <si>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</si>
  <si>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</si>
  <si>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</si>
  <si>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</si>
  <si>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</si>
  <si>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</si>
  <si>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</si>
  <si>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</si>
  <si>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</si>
  <si>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</si>
  <si>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</si>
  <si>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</si>
  <si>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</si>
  <si>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</si>
  <si>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</si>
  <si>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</si>
  <si>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</si>
  <si>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</si>
  <si>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</si>
  <si>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</si>
  <si>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</si>
  <si>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</si>
  <si>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</si>
  <si>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</si>
  <si>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</si>
  <si>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</si>
  <si>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</si>
  <si>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</si>
  <si>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</si>
  <si>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</si>
  <si>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</si>
  <si>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</si>
  <si>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</si>
  <si>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</si>
  <si>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</si>
  <si>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</si>
  <si>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</si>
  <si>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</si>
  <si>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</si>
  <si>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</si>
  <si>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</si>
  <si>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</si>
  <si>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</si>
  <si>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</si>
  <si>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</si>
  <si>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</si>
  <si>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</si>
  <si>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</si>
  <si>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</si>
  <si>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</si>
  <si>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</si>
  <si>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</si>
  <si>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</si>
  <si>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</si>
  <si>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</si>
  <si>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</si>
  <si>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</si>
  <si>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</si>
  <si>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</si>
  <si>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</si>
  <si>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</si>
  <si>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</si>
  <si>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</si>
  <si>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</si>
  <si>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</si>
  <si>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</si>
  <si>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</si>
  <si>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</si>
  <si>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</si>
  <si>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</si>
  <si>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</si>
  <si>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</si>
  <si>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</si>
  <si>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</si>
  <si>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</si>
  <si>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</si>
  <si>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</si>
  <si>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</si>
  <si>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</si>
  <si>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</si>
  <si>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</si>
  <si>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</si>
  <si>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</si>
  <si>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</si>
  <si>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</si>
  <si>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</si>
  <si>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</si>
  <si>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</si>
  <si>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</si>
  <si>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</si>
  <si>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</si>
  <si>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</si>
  <si>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</si>
  <si>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</si>
  <si>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</si>
  <si>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</si>
  <si>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</si>
  <si>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</si>
  <si>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</si>
  <si>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</si>
  <si>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</si>
  <si>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</si>
  <si>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</si>
  <si>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</si>
  <si>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</si>
  <si>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</si>
  <si>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</si>
  <si>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</si>
  <si>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</si>
  <si>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</si>
  <si>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</si>
  <si>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</si>
  <si>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</si>
  <si>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</si>
  <si>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</si>
  <si>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</si>
  <si>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</si>
  <si>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</si>
  <si>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</si>
  <si>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</si>
  <si>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</si>
  <si>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</si>
  <si>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</si>
  <si>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</si>
  <si>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</si>
  <si>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</si>
  <si>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</si>
  <si>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</si>
  <si>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</si>
  <si>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</si>
  <si>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</si>
  <si>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</si>
  <si>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</si>
  <si>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</si>
  <si>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</si>
  <si>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</si>
  <si>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</si>
  <si>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</si>
  <si>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</si>
  <si>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</si>
  <si>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</si>
  <si>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</si>
  <si>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</si>
  <si>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</si>
  <si>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</si>
  <si>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</si>
  <si>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</si>
  <si>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</si>
  <si>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</si>
  <si>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</si>
  <si>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</si>
  <si>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</si>
  <si>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</si>
  <si>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</si>
  <si>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</si>
  <si>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</si>
  <si>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</si>
  <si>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</si>
  <si>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</si>
  <si>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</si>
  <si>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</si>
  <si>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</si>
  <si>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</si>
  <si>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</si>
  <si>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</si>
  <si>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</si>
  <si>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</si>
  <si>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</si>
  <si>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</si>
  <si>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</si>
  <si>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</si>
  <si>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</si>
  <si>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</si>
  <si>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</si>
  <si>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</si>
  <si>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</si>
  <si>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</si>
  <si>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</si>
  <si>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</si>
  <si>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</si>
  <si>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</si>
  <si>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</si>
  <si>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</si>
  <si>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</si>
  <si>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</si>
  <si>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</si>
  <si>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</si>
  <si>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</si>
  <si>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</si>
  <si>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</si>
  <si>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</si>
  <si>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</si>
  <si>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</si>
  <si>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</si>
  <si>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</si>
  <si>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</si>
  <si>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</si>
  <si>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</si>
  <si>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</si>
  <si>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</si>
  <si>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</si>
  <si>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</si>
  <si>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</si>
  <si>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</si>
  <si>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</si>
  <si>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</si>
  <si>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</si>
  <si>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</si>
  <si>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</si>
  <si>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</si>
  <si>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</si>
  <si>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</si>
  <si>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</si>
  <si>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</si>
  <si>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</si>
  <si>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</si>
  <si>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</si>
  <si>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</si>
  <si>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</si>
  <si>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</si>
  <si>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</si>
  <si>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</si>
  <si>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</si>
  <si>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</si>
  <si>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</si>
  <si>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</si>
  <si>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</si>
  <si>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</si>
  <si>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</si>
  <si>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</si>
  <si>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</si>
  <si>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</si>
  <si>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</si>
  <si>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</si>
  <si>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</si>
  <si>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</si>
  <si>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</si>
  <si>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</si>
  <si>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</si>
  <si>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</si>
  <si>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</si>
  <si>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</si>
  <si>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</si>
  <si>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</si>
  <si>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</si>
  <si>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</si>
  <si>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</si>
  <si>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</si>
  <si>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</si>
  <si>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</si>
  <si>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</si>
  <si>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</si>
  <si>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</si>
  <si>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</si>
  <si>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</si>
  <si>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</si>
  <si>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</si>
  <si>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</si>
  <si>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</si>
  <si>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</si>
  <si>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</si>
  <si>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</si>
  <si>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</si>
  <si>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</si>
  <si>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</si>
  <si>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</si>
  <si>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</si>
  <si>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</si>
  <si>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</si>
  <si>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</si>
  <si>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</si>
  <si>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</si>
  <si>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</si>
  <si>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</si>
  <si>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</si>
  <si>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</si>
  <si>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</si>
  <si>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</si>
  <si>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</si>
  <si>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</si>
  <si>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</si>
  <si>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</si>
  <si>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</si>
  <si>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</si>
  <si>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</si>
  <si>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</si>
  <si>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</si>
  <si>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</si>
  <si>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</si>
  <si>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</si>
  <si>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</si>
  <si>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</si>
  <si>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</si>
  <si>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</si>
  <si>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</si>
  <si>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</si>
  <si>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</si>
  <si>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</si>
  <si>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</si>
  <si>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</si>
  <si>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</si>
  <si>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</si>
  <si>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</si>
  <si>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</si>
  <si>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</si>
  <si>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</si>
  <si>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</si>
  <si>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</si>
  <si>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</si>
  <si>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</si>
  <si>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</si>
  <si>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</si>
  <si>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</si>
  <si>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</si>
  <si>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</si>
  <si>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</si>
  <si>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</si>
  <si>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</si>
  <si>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</si>
  <si>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</si>
  <si>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</si>
  <si>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</si>
  <si>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</si>
  <si>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</si>
  <si>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</si>
  <si>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</si>
  <si>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</si>
  <si>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</si>
  <si>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</si>
  <si>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</si>
  <si>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</si>
  <si>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</si>
  <si>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</si>
  <si>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</si>
  <si>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</si>
  <si>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</si>
  <si>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</si>
  <si>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</si>
  <si>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</si>
  <si>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</si>
  <si>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</si>
  <si>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</si>
  <si>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</si>
  <si>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</si>
  <si>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</si>
  <si>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</si>
  <si>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</si>
  <si>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</si>
  <si>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</si>
  <si>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</si>
  <si>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</si>
  <si>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</si>
  <si>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</si>
  <si>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</si>
  <si>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</si>
  <si>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</si>
  <si>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</si>
  <si>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</si>
  <si>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</si>
  <si>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</si>
  <si>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</si>
  <si>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</si>
  <si>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</si>
  <si>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</si>
  <si>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</si>
  <si>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</si>
  <si>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</si>
  <si>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</si>
  <si>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</si>
  <si>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</si>
  <si>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</si>
  <si>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</si>
  <si>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</si>
  <si>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</si>
  <si>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</si>
  <si>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</si>
  <si>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</si>
  <si>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</si>
  <si>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</si>
  <si>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</si>
  <si>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</si>
  <si>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</si>
  <si>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</si>
  <si>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</si>
  <si>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</si>
  <si>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</si>
  <si>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</si>
  <si>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</si>
  <si>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</si>
  <si>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</si>
  <si>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</si>
  <si>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</si>
  <si>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</si>
  <si>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</si>
  <si>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</si>
  <si>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</si>
  <si>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</si>
  <si>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</si>
  <si>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</si>
  <si>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</si>
  <si>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</si>
  <si>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</si>
  <si>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</si>
  <si>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</si>
  <si>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</si>
  <si>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</si>
  <si>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</si>
  <si>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</si>
  <si>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</si>
  <si>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</si>
  <si>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</si>
  <si>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</si>
  <si>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</si>
  <si>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</si>
  <si>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</si>
  <si>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</si>
  <si>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</si>
  <si>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</si>
  <si>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</si>
  <si>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</si>
  <si>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</si>
  <si>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</si>
  <si>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</si>
  <si>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</si>
  <si>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</si>
  <si>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</si>
  <si>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</si>
  <si>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</si>
  <si>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</si>
  <si>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</si>
  <si>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</si>
  <si>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</si>
  <si>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</si>
  <si>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</si>
  <si>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</si>
  <si>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</si>
  <si>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</si>
  <si>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</si>
  <si>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</si>
  <si>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</si>
  <si>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</si>
  <si>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</si>
  <si>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</si>
  <si>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</si>
  <si>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</si>
  <si>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</si>
  <si>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</si>
  <si>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</si>
  <si>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</si>
  <si>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</si>
  <si>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</si>
  <si>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</si>
  <si>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</si>
  <si>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</si>
  <si>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</si>
  <si>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</si>
  <si>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</si>
  <si>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</si>
  <si>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</si>
  <si>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</si>
  <si>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</si>
  <si>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</si>
  <si>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</si>
  <si>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48188420009</t>
  </si>
  <si>
    <t>03361721</t>
  </si>
  <si>
    <t>030026579</t>
  </si>
  <si>
    <t>Zračna luka Osijek d.o.o.</t>
  </si>
  <si>
    <t>Klisa, Vukovarska ulica 67</t>
  </si>
  <si>
    <t>ingo@osijek-airport.hr</t>
  </si>
  <si>
    <t>031/514-402</t>
  </si>
  <si>
    <t>www.osijek-airport.hr</t>
  </si>
  <si>
    <t>Đurđica Pancić</t>
  </si>
  <si>
    <t>djurdjica.pancic@osijek-airport.hr</t>
  </si>
  <si>
    <t>Davor Forgić</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</si>
</sst>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75"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75"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75"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75"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18" xfId="0" applyNumberFormat="1" applyFont="1" applyFill="1" applyBorder="1" applyAlignment="1">
      <alignment horizontal="center" vertical="center"/>
    </xf>
    <xf numFmtId="190"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5399723.24</v>
      </c>
      <c r="I3" s="31">
        <f>ABS(ROUND(J3,0)-J3)+ABS(ROUND(K3,0)-K3)</f>
        <v>0</v>
      </c>
      <c r="J3" s="31">
        <f>Bilanca!I10</f>
        <v>90370614</v>
      </c>
      <c r="K3" s="31">
        <f>Bilanca!J10</f>
        <v>89807774</v>
      </c>
    </row>
    <row r="4" spans="1:11" ht="12.75">
      <c r="A4" s="4" t="s">
        <v>1088</v>
      </c>
      <c r="B4" s="29" t="s">
        <v>1888</v>
      </c>
      <c r="D4" s="4" t="s">
        <v>1521</v>
      </c>
      <c r="E4" s="4">
        <v>1</v>
      </c>
      <c r="F4" s="4">
        <f>Bilanca!G11</f>
        <v>3</v>
      </c>
      <c r="G4" s="4">
        <f>IF(Bilanca!H11=0,"",Bilanca!H11)</f>
      </c>
      <c r="H4" s="30">
        <f>J4/100*F4+2*K4/100*F4</f>
        <v>12522.48</v>
      </c>
      <c r="I4" s="31">
        <f>ABS(ROUND(J4,0)-J4)+ABS(ROUND(K4,0)-K4)</f>
        <v>0</v>
      </c>
      <c r="J4" s="31">
        <f>Bilanca!I11</f>
        <v>251482</v>
      </c>
      <c r="K4" s="31">
        <f>Bilanca!J11</f>
        <v>82967</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03361721</v>
      </c>
      <c r="D6" s="4" t="s">
        <v>1521</v>
      </c>
      <c r="E6" s="4">
        <v>1</v>
      </c>
      <c r="F6" s="4">
        <f>Bilanca!G13</f>
        <v>5</v>
      </c>
      <c r="G6" s="4">
        <f>IF(Bilanca!H13=0,"",Bilanca!H13)</f>
      </c>
      <c r="H6" s="30">
        <f aca="true" t="shared" si="0" ref="H6:H45">J6/100*F6+2*K6/100*F6</f>
        <v>19373.3</v>
      </c>
      <c r="I6" s="31">
        <f aca="true" t="shared" si="1" ref="I6:I45">ABS(ROUND(J6,0)-J6)+ABS(ROUND(K6,0)-K6)</f>
        <v>0</v>
      </c>
      <c r="J6" s="31">
        <f>Bilanca!I13</f>
        <v>221532</v>
      </c>
      <c r="K6" s="31">
        <f>Bilanca!J13</f>
        <v>82967</v>
      </c>
    </row>
    <row r="7" spans="1:11" ht="12.75">
      <c r="A7" s="4" t="s">
        <v>2353</v>
      </c>
      <c r="B7" s="29" t="str">
        <f>RefStr!M27</f>
        <v>030026579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48188420009</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Zračna luka Osijek d.o.o.</v>
      </c>
      <c r="D9" s="4" t="s">
        <v>1521</v>
      </c>
      <c r="E9" s="4">
        <v>1</v>
      </c>
      <c r="F9" s="4">
        <f>Bilanca!G16</f>
        <v>8</v>
      </c>
      <c r="G9" s="4">
        <f>IF(Bilanca!H16=0,"",Bilanca!H16)</f>
      </c>
      <c r="H9" s="30">
        <f t="shared" si="0"/>
        <v>2396</v>
      </c>
      <c r="I9" s="31">
        <f t="shared" si="1"/>
        <v>0</v>
      </c>
      <c r="J9" s="31">
        <f>Bilanca!I16</f>
        <v>29950</v>
      </c>
      <c r="K9" s="31">
        <f>Bilanca!J16</f>
        <v>0</v>
      </c>
    </row>
    <row r="10" spans="1:11" ht="12.75">
      <c r="A10" s="4" t="s">
        <v>2355</v>
      </c>
      <c r="B10" s="29" t="str">
        <f>TEXT(RefStr!C31,"00000")</f>
        <v>31000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Osijek</v>
      </c>
      <c r="D11" s="4" t="s">
        <v>1521</v>
      </c>
      <c r="E11" s="4">
        <v>1</v>
      </c>
      <c r="F11" s="4">
        <f>Bilanca!G18</f>
        <v>10</v>
      </c>
      <c r="G11" s="4">
        <f>IF(Bilanca!H18=0,"",Bilanca!H18)</f>
      </c>
      <c r="H11" s="30">
        <f t="shared" si="0"/>
        <v>26932319.599999998</v>
      </c>
      <c r="I11" s="31">
        <f t="shared" si="1"/>
        <v>0</v>
      </c>
      <c r="J11" s="31">
        <f>Bilanca!I18</f>
        <v>90037282</v>
      </c>
      <c r="K11" s="31">
        <f>Bilanca!J18</f>
        <v>89642957</v>
      </c>
    </row>
    <row r="12" spans="1:11" ht="12.75">
      <c r="A12" s="4" t="s">
        <v>2357</v>
      </c>
      <c r="B12" s="29" t="str">
        <f>TRIM(RefStr!C33)</f>
        <v>Klisa, Vukovarska ulica 67</v>
      </c>
      <c r="D12" s="4" t="s">
        <v>1521</v>
      </c>
      <c r="E12" s="4">
        <v>1</v>
      </c>
      <c r="F12" s="4">
        <f>Bilanca!G19</f>
        <v>11</v>
      </c>
      <c r="G12" s="4">
        <f>IF(Bilanca!H19=0,"",Bilanca!H19)</f>
      </c>
      <c r="H12" s="30">
        <f t="shared" si="0"/>
        <v>4983693.109999999</v>
      </c>
      <c r="I12" s="31">
        <f t="shared" si="1"/>
        <v>0</v>
      </c>
      <c r="J12" s="31">
        <f>Bilanca!I19</f>
        <v>14647171</v>
      </c>
      <c r="K12" s="31">
        <f>Bilanca!J19</f>
        <v>15329565</v>
      </c>
    </row>
    <row r="13" spans="1:11" ht="12.75">
      <c r="A13" s="4" t="s">
        <v>1193</v>
      </c>
      <c r="B13" s="29" t="str">
        <f>TRIM(RefStr!C35)</f>
        <v>ingo@osijek-airport.hr</v>
      </c>
      <c r="D13" s="4" t="s">
        <v>1521</v>
      </c>
      <c r="E13" s="4">
        <v>1</v>
      </c>
      <c r="F13" s="4">
        <f>Bilanca!G20</f>
        <v>12</v>
      </c>
      <c r="G13" s="4">
        <f>IF(Bilanca!H20=0,"",Bilanca!H20)</f>
      </c>
      <c r="H13" s="30">
        <f t="shared" si="0"/>
        <v>24383769.72</v>
      </c>
      <c r="I13" s="31">
        <f t="shared" si="1"/>
        <v>0</v>
      </c>
      <c r="J13" s="31">
        <f>Bilanca!I20</f>
        <v>68505145</v>
      </c>
      <c r="K13" s="31">
        <f>Bilanca!J20</f>
        <v>67346468</v>
      </c>
    </row>
    <row r="14" spans="1:11" ht="12.75">
      <c r="A14" s="4" t="s">
        <v>1194</v>
      </c>
      <c r="B14" s="29" t="str">
        <f>TRIM(RefStr!C37)</f>
        <v>www.osijek-airport.hr</v>
      </c>
      <c r="D14" s="4" t="s">
        <v>1521</v>
      </c>
      <c r="E14" s="4">
        <v>1</v>
      </c>
      <c r="F14" s="4">
        <f>Bilanca!G21</f>
        <v>13</v>
      </c>
      <c r="G14" s="4">
        <f>IF(Bilanca!H21=0,"",Bilanca!H21)</f>
      </c>
      <c r="H14" s="30">
        <f t="shared" si="0"/>
        <v>739700</v>
      </c>
      <c r="I14" s="31">
        <f t="shared" si="1"/>
        <v>0</v>
      </c>
      <c r="J14" s="31">
        <f>Bilanca!I21</f>
        <v>1804588</v>
      </c>
      <c r="K14" s="31">
        <f>Bilanca!J21</f>
        <v>1942706</v>
      </c>
    </row>
    <row r="15" spans="1:11" ht="12.75">
      <c r="A15" s="4" t="s">
        <v>2360</v>
      </c>
      <c r="B15" s="29" t="str">
        <f>TEXT(RefStr!J39,"00")</f>
        <v>14</v>
      </c>
      <c r="D15" s="4" t="s">
        <v>1521</v>
      </c>
      <c r="E15" s="4">
        <v>1</v>
      </c>
      <c r="F15" s="4">
        <f>Bilanca!G22</f>
        <v>14</v>
      </c>
      <c r="G15" s="4">
        <f>IF(Bilanca!H22=0,"",Bilanca!H22)</f>
      </c>
      <c r="H15" s="30">
        <f t="shared" si="0"/>
        <v>206758.71999999997</v>
      </c>
      <c r="I15" s="31">
        <f t="shared" si="1"/>
        <v>0</v>
      </c>
      <c r="J15" s="31">
        <f>Bilanca!I22</f>
        <v>539560</v>
      </c>
      <c r="K15" s="31">
        <f>Bilanca!J22</f>
        <v>468644</v>
      </c>
    </row>
    <row r="16" spans="1:11" ht="12.75">
      <c r="A16" s="4" t="s">
        <v>2359</v>
      </c>
      <c r="B16" s="29" t="str">
        <f>TEXT(RefStr!C39,"000")</f>
        <v>312</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5223</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2257348.4000000004</v>
      </c>
      <c r="I18" s="31">
        <f t="shared" si="1"/>
        <v>0</v>
      </c>
      <c r="J18" s="31">
        <f>Bilanca!I25</f>
        <v>4404610</v>
      </c>
      <c r="K18" s="31">
        <f>Bilanca!J25</f>
        <v>4436955</v>
      </c>
    </row>
    <row r="19" spans="1:11" ht="12.75">
      <c r="A19" s="4" t="s">
        <v>1196</v>
      </c>
      <c r="B19" s="29" t="str">
        <f>IF(RefStr!I21&lt;&gt;"",RefStr!I21,"")</f>
        <v>NE</v>
      </c>
      <c r="D19" s="4" t="s">
        <v>1521</v>
      </c>
      <c r="E19" s="4">
        <v>1</v>
      </c>
      <c r="F19" s="4">
        <f>Bilanca!G26</f>
        <v>18</v>
      </c>
      <c r="G19" s="4">
        <f>IF(Bilanca!H26=0,"",Bilanca!H26)</f>
      </c>
      <c r="H19" s="30">
        <f t="shared" si="0"/>
        <v>67220.28</v>
      </c>
      <c r="I19" s="31">
        <f t="shared" si="1"/>
        <v>0</v>
      </c>
      <c r="J19" s="31">
        <f>Bilanca!I26</f>
        <v>136208</v>
      </c>
      <c r="K19" s="31">
        <f>Bilanca!J26</f>
        <v>118619</v>
      </c>
    </row>
    <row r="20" spans="1:11" ht="12.75">
      <c r="A20" s="4" t="s">
        <v>1197</v>
      </c>
      <c r="B20" s="29">
        <f>RefStr!C19</f>
        <v>1</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49110</v>
      </c>
      <c r="I21" s="31">
        <f t="shared" si="1"/>
        <v>0</v>
      </c>
      <c r="J21" s="31">
        <f>Bilanca!I28</f>
        <v>81850</v>
      </c>
      <c r="K21" s="31">
        <f>Bilanca!J28</f>
        <v>81850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52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0</v>
      </c>
      <c r="D26" s="4" t="s">
        <v>1521</v>
      </c>
      <c r="E26" s="4">
        <v>1</v>
      </c>
      <c r="F26" s="4">
        <f>Bilanca!G33</f>
        <v>25</v>
      </c>
      <c r="G26" s="4">
        <f>IF(Bilanca!H33=0,"",Bilanca!H33)</f>
      </c>
      <c r="H26" s="30">
        <f t="shared" si="0"/>
        <v>52050</v>
      </c>
      <c r="I26" s="31">
        <f t="shared" si="1"/>
        <v>0</v>
      </c>
      <c r="J26" s="31">
        <f>Bilanca!I33</f>
        <v>69400</v>
      </c>
      <c r="K26" s="31">
        <f>Bilanca!J33</f>
        <v>69400</v>
      </c>
    </row>
    <row r="27" spans="1:11" ht="12.75">
      <c r="A27" s="4" t="s">
        <v>1204</v>
      </c>
      <c r="B27" s="29">
        <f>RefStr!C58</f>
        <v>51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10458</v>
      </c>
      <c r="I29" s="31">
        <f t="shared" si="1"/>
        <v>0</v>
      </c>
      <c r="J29" s="31">
        <f>Bilanca!I36</f>
        <v>12450</v>
      </c>
      <c r="K29" s="31">
        <f>Bilanca!J36</f>
        <v>12450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829401.62</v>
      </c>
      <c r="I38" s="31">
        <f t="shared" si="1"/>
        <v>0</v>
      </c>
      <c r="J38" s="31">
        <f>Bilanca!I45</f>
        <v>669152</v>
      </c>
      <c r="K38" s="31">
        <f>Bilanca!J45</f>
        <v>786237</v>
      </c>
    </row>
    <row r="39" spans="1:11" ht="12.75">
      <c r="A39" s="4" t="s">
        <v>1216</v>
      </c>
      <c r="B39" s="29" t="str">
        <f>RefStr!C68</f>
        <v>Đurđica Pancić</v>
      </c>
      <c r="D39" s="4" t="s">
        <v>1521</v>
      </c>
      <c r="E39" s="4">
        <v>1</v>
      </c>
      <c r="F39" s="4">
        <f>Bilanca!G46</f>
        <v>38</v>
      </c>
      <c r="G39" s="4">
        <f>IF(Bilanca!H46=0,"",Bilanca!H46)</f>
      </c>
      <c r="H39" s="30">
        <f t="shared" si="0"/>
        <v>140486.76</v>
      </c>
      <c r="I39" s="31">
        <f t="shared" si="1"/>
        <v>0</v>
      </c>
      <c r="J39" s="31">
        <f>Bilanca!I46</f>
        <v>130600</v>
      </c>
      <c r="K39" s="31">
        <f>Bilanca!J46</f>
        <v>119551</v>
      </c>
    </row>
    <row r="40" spans="1:11" ht="12.75">
      <c r="A40" s="4" t="s">
        <v>1217</v>
      </c>
      <c r="B40" s="29" t="str">
        <f>TRIM(RefStr!C70)</f>
        <v>031/514-402</v>
      </c>
      <c r="D40" s="4" t="s">
        <v>1521</v>
      </c>
      <c r="E40" s="4">
        <v>1</v>
      </c>
      <c r="F40" s="4">
        <f>Bilanca!G47</f>
        <v>39</v>
      </c>
      <c r="G40" s="4">
        <f>IF(Bilanca!H47=0,"",Bilanca!H47)</f>
      </c>
      <c r="H40" s="30">
        <f t="shared" si="0"/>
        <v>85911.15</v>
      </c>
      <c r="I40" s="31">
        <f t="shared" si="1"/>
        <v>0</v>
      </c>
      <c r="J40" s="31">
        <f>Bilanca!I47</f>
        <v>100991</v>
      </c>
      <c r="K40" s="31">
        <f>Bilanca!J47</f>
        <v>59647</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djurdjica.pancic@osijek-airport.hr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Davor Forgić</v>
      </c>
      <c r="D43" s="4" t="s">
        <v>1521</v>
      </c>
      <c r="E43" s="4">
        <v>1</v>
      </c>
      <c r="F43" s="4">
        <f>Bilanca!G50</f>
        <v>42</v>
      </c>
      <c r="G43" s="4">
        <f>IF(Bilanca!H50=0,"",Bilanca!H50)</f>
      </c>
      <c r="H43" s="30">
        <f t="shared" si="0"/>
        <v>16099.019999999999</v>
      </c>
      <c r="I43" s="31">
        <f t="shared" si="1"/>
        <v>0</v>
      </c>
      <c r="J43" s="31">
        <f>Bilanca!I50</f>
        <v>29609</v>
      </c>
      <c r="K43" s="31">
        <f>Bilanca!J50</f>
        <v>4361</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48877.84</v>
      </c>
      <c r="I45" s="31">
        <f t="shared" si="1"/>
        <v>0</v>
      </c>
      <c r="J45" s="31">
        <f>Bilanca!I52</f>
        <v>0</v>
      </c>
      <c r="K45" s="31">
        <f>Bilanca!J52</f>
        <v>55543</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547152.98</v>
      </c>
      <c r="I47" s="31">
        <f t="shared" si="3"/>
        <v>0</v>
      </c>
      <c r="J47" s="31">
        <f>Bilanca!I54</f>
        <v>491057</v>
      </c>
      <c r="K47" s="31">
        <f>Bilanca!J54</f>
        <v>349203</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544748.19</v>
      </c>
      <c r="I50" s="31">
        <f t="shared" si="3"/>
        <v>0</v>
      </c>
      <c r="J50" s="31">
        <f>Bilanca!I57</f>
        <v>446163</v>
      </c>
      <c r="K50" s="31">
        <f>Bilanca!J57</f>
        <v>332784</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31131.42</v>
      </c>
      <c r="I52" s="31">
        <f t="shared" si="3"/>
        <v>0</v>
      </c>
      <c r="J52" s="31">
        <f>Bilanca!I59</f>
        <v>38690</v>
      </c>
      <c r="K52" s="31">
        <f>Bilanca!J59</f>
        <v>11176</v>
      </c>
    </row>
    <row r="53" spans="1:11" ht="12.75">
      <c r="A53" s="4" t="s">
        <v>532</v>
      </c>
      <c r="B53" s="29" t="str">
        <f>RefStr!I56</f>
        <v>NE</v>
      </c>
      <c r="D53" s="4" t="s">
        <v>1521</v>
      </c>
      <c r="E53" s="4">
        <v>1</v>
      </c>
      <c r="F53" s="4">
        <f>Bilanca!G60</f>
        <v>52</v>
      </c>
      <c r="G53" s="4">
        <f>IF(Bilanca!H60=0,"",Bilanca!H60)</f>
      </c>
      <c r="H53" s="30">
        <f t="shared" si="2"/>
        <v>8678.8</v>
      </c>
      <c r="I53" s="31">
        <f t="shared" si="3"/>
        <v>0</v>
      </c>
      <c r="J53" s="31">
        <f>Bilanca!I60</f>
        <v>6204</v>
      </c>
      <c r="K53" s="31">
        <f>Bilanca!J60</f>
        <v>5243</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NE</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NE</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2073694375.5300007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429950.43</v>
      </c>
      <c r="I64" s="31">
        <f t="shared" si="3"/>
        <v>0</v>
      </c>
      <c r="J64" s="31">
        <f>Bilanca!I71</f>
        <v>47495</v>
      </c>
      <c r="K64" s="31">
        <f>Bilanca!J71</f>
        <v>317483</v>
      </c>
    </row>
    <row r="65" spans="1:11" ht="12.75">
      <c r="A65" s="4" t="s">
        <v>687</v>
      </c>
      <c r="B65" s="29" t="str">
        <f>RefStr!N19</f>
        <v>HSFI</v>
      </c>
      <c r="D65" s="4" t="s">
        <v>1521</v>
      </c>
      <c r="E65" s="4">
        <v>1</v>
      </c>
      <c r="F65" s="4">
        <f>Bilanca!G72</f>
        <v>64</v>
      </c>
      <c r="G65" s="4">
        <f>IF(Bilanca!H72=0,"",Bilanca!H72)</f>
      </c>
      <c r="H65" s="30">
        <f t="shared" si="2"/>
        <v>276160.64</v>
      </c>
      <c r="I65" s="31">
        <f t="shared" si="3"/>
        <v>0</v>
      </c>
      <c r="J65" s="31">
        <f>Bilanca!I72</f>
        <v>84367</v>
      </c>
      <c r="K65" s="31">
        <f>Bilanca!J72</f>
        <v>173567</v>
      </c>
    </row>
    <row r="66" spans="1:11" ht="12.75">
      <c r="A66" s="4" t="s">
        <v>688</v>
      </c>
      <c r="B66" s="29">
        <f>RefStr!C23</f>
        <v>1</v>
      </c>
      <c r="D66" s="4" t="s">
        <v>1521</v>
      </c>
      <c r="E66" s="4">
        <v>1</v>
      </c>
      <c r="F66" s="4">
        <f>Bilanca!G73</f>
        <v>65</v>
      </c>
      <c r="G66" s="4">
        <f>IF(Bilanca!H73=0,"",Bilanca!H73)</f>
      </c>
      <c r="H66" s="30">
        <f t="shared" si="2"/>
        <v>177228537.85</v>
      </c>
      <c r="I66" s="31">
        <f t="shared" si="3"/>
        <v>0</v>
      </c>
      <c r="J66" s="31">
        <f>Bilanca!I73</f>
        <v>91124133</v>
      </c>
      <c r="K66" s="31">
        <f>Bilanca!J73</f>
        <v>90767578</v>
      </c>
    </row>
    <row r="67" spans="1:11" ht="12.75">
      <c r="A67" s="4" t="s">
        <v>689</v>
      </c>
      <c r="B67" s="29" t="str">
        <f>RefStr!L35</f>
        <v>031/514-402</v>
      </c>
      <c r="D67" s="4" t="s">
        <v>1521</v>
      </c>
      <c r="E67" s="4">
        <v>1</v>
      </c>
      <c r="F67" s="4">
        <f>Bilanca!G74</f>
        <v>66</v>
      </c>
      <c r="G67" s="4">
        <f>IF(Bilanca!H74=0,"",Bilanca!H74)</f>
      </c>
      <c r="H67" s="30">
        <f t="shared" si="2"/>
        <v>216477.36</v>
      </c>
      <c r="I67" s="31">
        <f t="shared" si="3"/>
        <v>0</v>
      </c>
      <c r="J67" s="31">
        <f>Bilanca!I74</f>
        <v>152896</v>
      </c>
      <c r="K67" s="31">
        <f>Bilanca!J74</f>
        <v>87550</v>
      </c>
    </row>
    <row r="68" spans="1:11" ht="12.75">
      <c r="A68" s="4" t="s">
        <v>690</v>
      </c>
      <c r="B68" s="29">
        <f>RefStr!C44</f>
        <v>1</v>
      </c>
      <c r="D68" s="4" t="s">
        <v>1521</v>
      </c>
      <c r="E68" s="4">
        <v>1</v>
      </c>
      <c r="F68" s="4">
        <f>Bilanca!G76</f>
        <v>67</v>
      </c>
      <c r="G68" s="4">
        <f>IF(Bilanca!H76=0,"",Bilanca!H76)</f>
      </c>
      <c r="H68" s="30">
        <f t="shared" si="2"/>
        <v>33325076.4</v>
      </c>
      <c r="I68" s="31">
        <f t="shared" si="3"/>
        <v>0</v>
      </c>
      <c r="J68" s="31">
        <f>Bilanca!I76</f>
        <v>16757602</v>
      </c>
      <c r="K68" s="31">
        <f>Bilanca!J76</f>
        <v>16490659</v>
      </c>
    </row>
    <row r="69" spans="1:11" ht="12.75">
      <c r="A69" s="4" t="s">
        <v>691</v>
      </c>
      <c r="B69" s="29">
        <f>RefStr!M46</f>
        <v>0</v>
      </c>
      <c r="D69" s="4" t="s">
        <v>1521</v>
      </c>
      <c r="E69" s="4">
        <v>1</v>
      </c>
      <c r="F69" s="4">
        <f>Bilanca!G77</f>
        <v>68</v>
      </c>
      <c r="G69" s="4">
        <f>IF(Bilanca!H77=0,"",Bilanca!H77)</f>
      </c>
      <c r="H69" s="30">
        <f t="shared" si="2"/>
        <v>53464320</v>
      </c>
      <c r="I69" s="31">
        <f t="shared" si="3"/>
        <v>0</v>
      </c>
      <c r="J69" s="31">
        <f>Bilanca!I77</f>
        <v>26208000</v>
      </c>
      <c r="K69" s="31">
        <f>Bilanca!J77</f>
        <v>26208000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-23079540.6</v>
      </c>
      <c r="I82" s="31">
        <f t="shared" si="3"/>
        <v>0</v>
      </c>
      <c r="J82" s="31">
        <f>Bilanca!I90</f>
        <v>-9592464</v>
      </c>
      <c r="K82" s="31">
        <f>Bilanca!J90</f>
        <v>-9450398</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23649405.8</v>
      </c>
      <c r="I84" s="31">
        <f t="shared" si="3"/>
        <v>0</v>
      </c>
      <c r="J84" s="31">
        <f>Bilanca!I92</f>
        <v>9592464</v>
      </c>
      <c r="K84" s="31">
        <f>Bilanca!J92</f>
        <v>9450398</v>
      </c>
    </row>
    <row r="85" spans="4:11" ht="12.75">
      <c r="D85" s="4" t="s">
        <v>1521</v>
      </c>
      <c r="E85" s="4">
        <v>1</v>
      </c>
      <c r="F85" s="4">
        <f>Bilanca!G93</f>
        <v>84</v>
      </c>
      <c r="G85" s="4">
        <f>IF(Bilanca!H93=0,"",Bilanca!H93)</f>
      </c>
      <c r="H85" s="30">
        <f>J85/100*F85+2*K85/100*F85</f>
        <v>-329128.8</v>
      </c>
      <c r="I85" s="31">
        <f>ABS(ROUND(J85,0)-J85)+ABS(ROUND(K85,0)-K85)</f>
        <v>0</v>
      </c>
      <c r="J85" s="31">
        <f>Bilanca!I93</f>
        <v>142066</v>
      </c>
      <c r="K85" s="31">
        <f>Bilanca!J93</f>
        <v>-266943</v>
      </c>
    </row>
    <row r="86" spans="4:11" ht="12.75">
      <c r="D86" s="4" t="s">
        <v>1521</v>
      </c>
      <c r="E86" s="4">
        <v>1</v>
      </c>
      <c r="F86" s="4">
        <f>Bilanca!G94</f>
        <v>85</v>
      </c>
      <c r="G86" s="4">
        <f>IF(Bilanca!H94=0,"",Bilanca!H94)</f>
      </c>
      <c r="H86" s="30">
        <f>J86/100*F86+2*K86/100*F86</f>
        <v>120756.1</v>
      </c>
      <c r="I86" s="31">
        <f>ABS(ROUND(J86,0)-J86)+ABS(ROUND(K86,0)-K86)</f>
        <v>0</v>
      </c>
      <c r="J86" s="31">
        <f>Bilanca!I94</f>
        <v>142066</v>
      </c>
      <c r="K86" s="31">
        <f>Bilanca!J94</f>
        <v>0</v>
      </c>
    </row>
    <row r="87" spans="4:11" ht="12.75">
      <c r="D87" s="4" t="s">
        <v>1521</v>
      </c>
      <c r="E87" s="4">
        <v>1</v>
      </c>
      <c r="F87" s="4">
        <f>Bilanca!G95</f>
        <v>86</v>
      </c>
      <c r="G87" s="4">
        <f>IF(Bilanca!H95=0,"",Bilanca!H95)</f>
      </c>
      <c r="H87" s="30">
        <f aca="true" t="shared" si="4" ref="H87:H127">J87/100*F87+2*K87/100*F87</f>
        <v>459141.95999999996</v>
      </c>
      <c r="I87" s="31">
        <f aca="true" t="shared" si="5" ref="I87:I127">ABS(ROUND(J87,0)-J87)+ABS(ROUND(K87,0)-K87)</f>
        <v>0</v>
      </c>
      <c r="J87" s="31">
        <f>Bilanca!I95</f>
        <v>0</v>
      </c>
      <c r="K87" s="31">
        <f>Bilanca!J95</f>
        <v>266943</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145886.40000000002</v>
      </c>
      <c r="I89" s="31">
        <f t="shared" si="5"/>
        <v>0</v>
      </c>
      <c r="J89" s="31">
        <f>Bilanca!I97</f>
        <v>55260</v>
      </c>
      <c r="K89" s="31">
        <f>Bilanca!J97</f>
        <v>55260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150859.8</v>
      </c>
      <c r="I92" s="31">
        <f t="shared" si="5"/>
        <v>0</v>
      </c>
      <c r="J92" s="31">
        <f>Bilanca!I100</f>
        <v>55260</v>
      </c>
      <c r="K92" s="31">
        <f>Bilanca!J100</f>
        <v>55260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10542665.850000001</v>
      </c>
      <c r="I96" s="31">
        <f t="shared" si="5"/>
        <v>0</v>
      </c>
      <c r="J96" s="31">
        <f>Bilanca!I104</f>
        <v>4341591</v>
      </c>
      <c r="K96" s="31">
        <f>Bilanca!J104</f>
        <v>3377976</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11208518.43</v>
      </c>
      <c r="I102" s="31">
        <f t="shared" si="5"/>
        <v>0</v>
      </c>
      <c r="J102" s="31">
        <f>Bilanca!I110</f>
        <v>4341591</v>
      </c>
      <c r="K102" s="31">
        <f>Bilanca!J110</f>
        <v>3377976</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38250676.72</v>
      </c>
      <c r="I108" s="31">
        <f t="shared" si="5"/>
        <v>0</v>
      </c>
      <c r="J108" s="31">
        <f>Bilanca!I116</f>
        <v>10225676</v>
      </c>
      <c r="K108" s="31">
        <f>Bilanca!J116</f>
        <v>12761310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12775079.52</v>
      </c>
      <c r="I113" s="31">
        <f t="shared" si="5"/>
        <v>0</v>
      </c>
      <c r="J113" s="31">
        <f>Bilanca!I121</f>
        <v>3088579</v>
      </c>
      <c r="K113" s="31">
        <f>Bilanca!J121</f>
        <v>4158871</v>
      </c>
    </row>
    <row r="114" spans="4:11" ht="12.75">
      <c r="D114" s="4" t="s">
        <v>1521</v>
      </c>
      <c r="E114" s="4">
        <v>1</v>
      </c>
      <c r="F114" s="4">
        <f>Bilanca!G122</f>
        <v>113</v>
      </c>
      <c r="G114" s="4">
        <f>IF(Bilanca!H122=0,"",Bilanca!H122)</f>
      </c>
      <c r="H114" s="30">
        <f t="shared" si="4"/>
        <v>12196743.14</v>
      </c>
      <c r="I114" s="31">
        <f t="shared" si="5"/>
        <v>0</v>
      </c>
      <c r="J114" s="31">
        <f>Bilanca!I122</f>
        <v>3352800</v>
      </c>
      <c r="K114" s="31">
        <f>Bilanca!J122</f>
        <v>3720389</v>
      </c>
    </row>
    <row r="115" spans="4:11" ht="12.75">
      <c r="D115" s="4" t="s">
        <v>1521</v>
      </c>
      <c r="E115" s="4">
        <v>1</v>
      </c>
      <c r="F115" s="4">
        <f>Bilanca!G123</f>
        <v>114</v>
      </c>
      <c r="G115" s="4">
        <f>IF(Bilanca!H123=0,"",Bilanca!H123)</f>
      </c>
      <c r="H115" s="30">
        <f t="shared" si="4"/>
        <v>96227.4</v>
      </c>
      <c r="I115" s="31">
        <f t="shared" si="5"/>
        <v>0</v>
      </c>
      <c r="J115" s="31">
        <f>Bilanca!I123</f>
        <v>28000</v>
      </c>
      <c r="K115" s="31">
        <f>Bilanca!J123</f>
        <v>28205</v>
      </c>
    </row>
    <row r="116" spans="4:11" ht="12.75">
      <c r="D116" s="4" t="s">
        <v>1521</v>
      </c>
      <c r="E116" s="4">
        <v>1</v>
      </c>
      <c r="F116" s="4">
        <f>Bilanca!G124</f>
        <v>115</v>
      </c>
      <c r="G116" s="4">
        <f>IF(Bilanca!H124=0,"",Bilanca!H124)</f>
      </c>
      <c r="H116" s="30">
        <f t="shared" si="4"/>
        <v>13097653.6</v>
      </c>
      <c r="I116" s="31">
        <f t="shared" si="5"/>
        <v>0</v>
      </c>
      <c r="J116" s="31">
        <f>Bilanca!I124</f>
        <v>3089346</v>
      </c>
      <c r="K116" s="31">
        <f>Bilanca!J124</f>
        <v>4149959</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1055793.96</v>
      </c>
      <c r="I118" s="31">
        <f t="shared" si="5"/>
        <v>0</v>
      </c>
      <c r="J118" s="31">
        <f>Bilanca!I126</f>
        <v>277654</v>
      </c>
      <c r="K118" s="31">
        <f>Bilanca!J126</f>
        <v>312367</v>
      </c>
    </row>
    <row r="119" spans="4:11" ht="12.75">
      <c r="D119" s="4" t="s">
        <v>1521</v>
      </c>
      <c r="E119" s="4">
        <v>1</v>
      </c>
      <c r="F119" s="4">
        <f>Bilanca!G127</f>
        <v>118</v>
      </c>
      <c r="G119" s="4">
        <f>IF(Bilanca!H127=0,"",Bilanca!H127)</f>
      </c>
      <c r="H119" s="30">
        <f t="shared" si="4"/>
        <v>657689.52</v>
      </c>
      <c r="I119" s="31">
        <f t="shared" si="5"/>
        <v>0</v>
      </c>
      <c r="J119" s="31">
        <f>Bilanca!I127</f>
        <v>173770</v>
      </c>
      <c r="K119" s="31">
        <f>Bilanca!J127</f>
        <v>191797</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744114.9099999999</v>
      </c>
      <c r="I122" s="31">
        <f t="shared" si="5"/>
        <v>0</v>
      </c>
      <c r="J122" s="31">
        <f>Bilanca!I130</f>
        <v>215527</v>
      </c>
      <c r="K122" s="31">
        <f>Bilanca!J130</f>
        <v>199722</v>
      </c>
    </row>
    <row r="123" spans="4:11" ht="12.75">
      <c r="D123" s="4" t="s">
        <v>1521</v>
      </c>
      <c r="E123" s="4">
        <v>1</v>
      </c>
      <c r="F123" s="4">
        <f>Bilanca!G131</f>
        <v>122</v>
      </c>
      <c r="G123" s="4">
        <f>IF(Bilanca!H131=0,"",Bilanca!H131)</f>
      </c>
      <c r="H123" s="30">
        <f t="shared" si="4"/>
        <v>214608675</v>
      </c>
      <c r="I123" s="31">
        <f t="shared" si="5"/>
        <v>0</v>
      </c>
      <c r="J123" s="31">
        <f>Bilanca!I131</f>
        <v>59744004</v>
      </c>
      <c r="K123" s="31">
        <f>Bilanca!J131</f>
        <v>58082373</v>
      </c>
    </row>
    <row r="124" spans="4:11" ht="12.75">
      <c r="D124" s="4" t="s">
        <v>1521</v>
      </c>
      <c r="E124" s="4">
        <v>1</v>
      </c>
      <c r="F124" s="4">
        <f>Bilanca!G132</f>
        <v>123</v>
      </c>
      <c r="G124" s="4">
        <f>IF(Bilanca!H132=0,"",Bilanca!H132)</f>
      </c>
      <c r="H124" s="30">
        <f t="shared" si="4"/>
        <v>335370925.46999997</v>
      </c>
      <c r="I124" s="31">
        <f t="shared" si="5"/>
        <v>0</v>
      </c>
      <c r="J124" s="31">
        <f>Bilanca!I132</f>
        <v>91124133</v>
      </c>
      <c r="K124" s="31">
        <f>Bilanca!J132</f>
        <v>90767578</v>
      </c>
    </row>
    <row r="125" spans="4:11" ht="12.75">
      <c r="D125" s="4" t="s">
        <v>1521</v>
      </c>
      <c r="E125" s="4">
        <v>1</v>
      </c>
      <c r="F125" s="4">
        <f>Bilanca!G133</f>
        <v>124</v>
      </c>
      <c r="G125" s="4">
        <f>IF(Bilanca!H133=0,"",Bilanca!H133)</f>
      </c>
      <c r="H125" s="30">
        <f t="shared" si="4"/>
        <v>406715.04000000004</v>
      </c>
      <c r="I125" s="31">
        <f t="shared" si="5"/>
        <v>0</v>
      </c>
      <c r="J125" s="31">
        <f>Bilanca!I133</f>
        <v>152896</v>
      </c>
      <c r="K125" s="31">
        <f>Bilanca!J133</f>
        <v>87550</v>
      </c>
    </row>
    <row r="126" spans="4:11" ht="12.75">
      <c r="D126" s="4" t="s">
        <v>541</v>
      </c>
      <c r="E126" s="4">
        <v>2</v>
      </c>
      <c r="F126" s="4">
        <f>RDG!G8</f>
        <v>125</v>
      </c>
      <c r="G126" s="4">
        <f>IF(RDG!H8=0,"",RDG!H8)</f>
      </c>
      <c r="H126" s="30">
        <f t="shared" si="4"/>
        <v>49804023.75</v>
      </c>
      <c r="I126" s="4">
        <f t="shared" si="5"/>
        <v>0</v>
      </c>
      <c r="J126" s="31">
        <f>RDG!I8</f>
        <v>14933711</v>
      </c>
      <c r="K126" s="31">
        <f>RDG!J8</f>
        <v>12454754</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17313596.31</v>
      </c>
      <c r="I128" s="4">
        <f aca="true" t="shared" si="7" ref="I128:I190">ABS(ROUND(J128,0)-J128)+ABS(ROUND(K128,0)-K128)</f>
        <v>0</v>
      </c>
      <c r="J128" s="31">
        <f>RDG!I10</f>
        <v>4733863</v>
      </c>
      <c r="K128" s="31">
        <f>RDG!J10</f>
        <v>4449445</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34073605.8</v>
      </c>
      <c r="I131" s="4">
        <f t="shared" si="7"/>
        <v>0</v>
      </c>
      <c r="J131" s="31">
        <f>RDG!I13</f>
        <v>10199848</v>
      </c>
      <c r="K131" s="31">
        <f>RDG!J13</f>
        <v>8005309</v>
      </c>
    </row>
    <row r="132" spans="4:11" ht="12.75">
      <c r="D132" s="4" t="s">
        <v>541</v>
      </c>
      <c r="E132" s="4">
        <v>2</v>
      </c>
      <c r="F132" s="4">
        <f>RDG!G14</f>
        <v>131</v>
      </c>
      <c r="G132" s="4">
        <f>IF(RDG!H14=0,"",RDG!H14)</f>
      </c>
      <c r="H132" s="30">
        <f t="shared" si="6"/>
        <v>50547396.69</v>
      </c>
      <c r="I132" s="4">
        <f t="shared" si="7"/>
        <v>0</v>
      </c>
      <c r="J132" s="31">
        <f>RDG!I14</f>
        <v>14229205</v>
      </c>
      <c r="K132" s="31">
        <f>RDG!J14</f>
        <v>12178297</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18122536.11</v>
      </c>
      <c r="I134" s="4">
        <f t="shared" si="7"/>
        <v>0</v>
      </c>
      <c r="J134" s="31">
        <f>RDG!I16</f>
        <v>5164057</v>
      </c>
      <c r="K134" s="31">
        <f>RDG!J16</f>
        <v>4230955</v>
      </c>
    </row>
    <row r="135" spans="4:11" ht="12.75">
      <c r="D135" s="4" t="s">
        <v>541</v>
      </c>
      <c r="E135" s="4">
        <v>2</v>
      </c>
      <c r="F135" s="4">
        <f>RDG!G17</f>
        <v>134</v>
      </c>
      <c r="G135" s="4">
        <f>IF(RDG!H17=0,"",RDG!H17)</f>
      </c>
      <c r="H135" s="30">
        <f t="shared" si="6"/>
        <v>3002578.2</v>
      </c>
      <c r="I135" s="4">
        <f t="shared" si="7"/>
        <v>0</v>
      </c>
      <c r="J135" s="31">
        <f>RDG!I17</f>
        <v>781230</v>
      </c>
      <c r="K135" s="31">
        <f>RDG!J17</f>
        <v>729750</v>
      </c>
    </row>
    <row r="136" spans="4:11" ht="12.75">
      <c r="D136" s="4" t="s">
        <v>541</v>
      </c>
      <c r="E136" s="4">
        <v>2</v>
      </c>
      <c r="F136" s="4">
        <f>RDG!G18</f>
        <v>135</v>
      </c>
      <c r="G136" s="4">
        <f>IF(RDG!H18=0,"",RDG!H18)</f>
      </c>
      <c r="H136" s="30">
        <f t="shared" si="6"/>
        <v>668702.25</v>
      </c>
      <c r="I136" s="4">
        <f t="shared" si="7"/>
        <v>0</v>
      </c>
      <c r="J136" s="31">
        <f>RDG!I18</f>
        <v>269731</v>
      </c>
      <c r="K136" s="31">
        <f>RDG!J18</f>
        <v>112802</v>
      </c>
    </row>
    <row r="137" spans="4:11" ht="12.75">
      <c r="D137" s="4" t="s">
        <v>541</v>
      </c>
      <c r="E137" s="4">
        <v>2</v>
      </c>
      <c r="F137" s="4">
        <f>RDG!G19</f>
        <v>136</v>
      </c>
      <c r="G137" s="4">
        <f>IF(RDG!H19=0,"",RDG!H19)</f>
      </c>
      <c r="H137" s="30">
        <f t="shared" si="6"/>
        <v>14810266.719999999</v>
      </c>
      <c r="I137" s="4">
        <f t="shared" si="7"/>
        <v>0</v>
      </c>
      <c r="J137" s="31">
        <f>RDG!I19</f>
        <v>4113096</v>
      </c>
      <c r="K137" s="31">
        <f>RDG!J19</f>
        <v>3388403</v>
      </c>
    </row>
    <row r="138" spans="4:11" ht="12.75">
      <c r="D138" s="4" t="s">
        <v>541</v>
      </c>
      <c r="E138" s="4">
        <v>2</v>
      </c>
      <c r="F138" s="4">
        <f>RDG!G20</f>
        <v>137</v>
      </c>
      <c r="G138" s="4">
        <f>IF(RDG!H20=0,"",RDG!H20)</f>
      </c>
      <c r="H138" s="30">
        <f t="shared" si="6"/>
        <v>20480984.880000003</v>
      </c>
      <c r="I138" s="4">
        <f t="shared" si="7"/>
        <v>0</v>
      </c>
      <c r="J138" s="31">
        <f>RDG!I20</f>
        <v>4707592</v>
      </c>
      <c r="K138" s="31">
        <f>RDG!J20</f>
        <v>5121016</v>
      </c>
    </row>
    <row r="139" spans="4:11" ht="12.75">
      <c r="D139" s="4" t="s">
        <v>541</v>
      </c>
      <c r="E139" s="4">
        <v>2</v>
      </c>
      <c r="F139" s="4">
        <f>RDG!G21</f>
        <v>138</v>
      </c>
      <c r="G139" s="4">
        <f>IF(RDG!H21=0,"",RDG!H21)</f>
      </c>
      <c r="H139" s="30">
        <f t="shared" si="6"/>
        <v>13384181.16</v>
      </c>
      <c r="I139" s="4">
        <f t="shared" si="7"/>
        <v>0</v>
      </c>
      <c r="J139" s="31">
        <f>RDG!I21</f>
        <v>3031760</v>
      </c>
      <c r="K139" s="31">
        <f>RDG!J21</f>
        <v>3333461</v>
      </c>
    </row>
    <row r="140" spans="4:11" ht="12.75">
      <c r="D140" s="4" t="s">
        <v>541</v>
      </c>
      <c r="E140" s="4">
        <v>2</v>
      </c>
      <c r="F140" s="4">
        <f>RDG!G22</f>
        <v>139</v>
      </c>
      <c r="G140" s="4">
        <f>IF(RDG!H22=0,"",RDG!H22)</f>
      </c>
      <c r="H140" s="30">
        <f t="shared" si="6"/>
        <v>4386802.470000001</v>
      </c>
      <c r="I140" s="4">
        <f t="shared" si="7"/>
        <v>0</v>
      </c>
      <c r="J140" s="31">
        <f>RDG!I22</f>
        <v>994651</v>
      </c>
      <c r="K140" s="31">
        <f>RDG!J22</f>
        <v>1080661</v>
      </c>
    </row>
    <row r="141" spans="4:11" ht="12.75">
      <c r="D141" s="4" t="s">
        <v>541</v>
      </c>
      <c r="E141" s="4">
        <v>2</v>
      </c>
      <c r="F141" s="4">
        <f>RDG!G23</f>
        <v>140</v>
      </c>
      <c r="G141" s="4">
        <f>IF(RDG!H23=0,"",RDG!H23)</f>
      </c>
      <c r="H141" s="30">
        <f t="shared" si="6"/>
        <v>2932956.6</v>
      </c>
      <c r="I141" s="4">
        <f t="shared" si="7"/>
        <v>0</v>
      </c>
      <c r="J141" s="31">
        <f>RDG!I23</f>
        <v>681181</v>
      </c>
      <c r="K141" s="31">
        <f>RDG!J23</f>
        <v>706894</v>
      </c>
    </row>
    <row r="142" spans="4:11" ht="12.75">
      <c r="D142" s="4" t="s">
        <v>541</v>
      </c>
      <c r="E142" s="4">
        <v>2</v>
      </c>
      <c r="F142" s="4">
        <f>RDG!G24</f>
        <v>141</v>
      </c>
      <c r="G142" s="4">
        <f>IF(RDG!H24=0,"",RDG!H24)</f>
      </c>
      <c r="H142" s="30">
        <f t="shared" si="6"/>
        <v>7623265.109999999</v>
      </c>
      <c r="I142" s="4">
        <f t="shared" si="7"/>
        <v>0</v>
      </c>
      <c r="J142" s="31">
        <f>RDG!I24</f>
        <v>1940571</v>
      </c>
      <c r="K142" s="31">
        <f>RDG!J24</f>
        <v>1733000</v>
      </c>
    </row>
    <row r="143" spans="4:11" ht="12.75">
      <c r="D143" s="4" t="s">
        <v>541</v>
      </c>
      <c r="E143" s="4">
        <v>2</v>
      </c>
      <c r="F143" s="4">
        <f>RDG!G25</f>
        <v>142</v>
      </c>
      <c r="G143" s="4">
        <f>IF(RDG!H25=0,"",RDG!H25)</f>
      </c>
      <c r="H143" s="30">
        <f t="shared" si="6"/>
        <v>4344445.98</v>
      </c>
      <c r="I143" s="4">
        <f t="shared" si="7"/>
        <v>0</v>
      </c>
      <c r="J143" s="31">
        <f>RDG!I25</f>
        <v>933829</v>
      </c>
      <c r="K143" s="31">
        <f>RDG!J25</f>
        <v>1062820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80679.6</v>
      </c>
      <c r="I147" s="4">
        <f t="shared" si="7"/>
        <v>0</v>
      </c>
      <c r="J147" s="31">
        <f>RDG!I29</f>
        <v>55260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82337.40000000001</v>
      </c>
      <c r="I150" s="4">
        <f t="shared" si="7"/>
        <v>0</v>
      </c>
      <c r="J150" s="31">
        <f>RDG!I32</f>
        <v>55260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2278029.2399999998</v>
      </c>
      <c r="I154" s="4">
        <f t="shared" si="7"/>
        <v>0</v>
      </c>
      <c r="J154" s="31">
        <f>RDG!I36</f>
        <v>1427896</v>
      </c>
      <c r="K154" s="31">
        <f>RDG!J36</f>
        <v>30506</v>
      </c>
    </row>
    <row r="155" spans="4:11" ht="12.75">
      <c r="D155" s="4" t="s">
        <v>541</v>
      </c>
      <c r="E155" s="4">
        <v>2</v>
      </c>
      <c r="F155" s="4">
        <f>RDG!G37</f>
        <v>154</v>
      </c>
      <c r="G155" s="4">
        <f>IF(RDG!H37=0,"",RDG!H37)</f>
      </c>
      <c r="H155" s="30">
        <f t="shared" si="6"/>
        <v>30861.6</v>
      </c>
      <c r="I155" s="4">
        <f t="shared" si="7"/>
        <v>0</v>
      </c>
      <c r="J155" s="31">
        <f>RDG!I37</f>
        <v>8762</v>
      </c>
      <c r="K155" s="31">
        <f>RDG!J37</f>
        <v>5639</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4282.6</v>
      </c>
      <c r="I162" s="4">
        <f t="shared" si="7"/>
        <v>0</v>
      </c>
      <c r="J162" s="31">
        <f>RDG!I44</f>
        <v>2644</v>
      </c>
      <c r="K162" s="31">
        <f>RDG!J44</f>
        <v>8</v>
      </c>
    </row>
    <row r="163" spans="4:11" ht="12.75">
      <c r="D163" s="4" t="s">
        <v>541</v>
      </c>
      <c r="E163" s="4">
        <v>2</v>
      </c>
      <c r="F163" s="4">
        <f>RDG!G45</f>
        <v>162</v>
      </c>
      <c r="G163" s="4">
        <f>IF(RDG!H45=0,"",RDG!H45)</f>
      </c>
      <c r="H163" s="30">
        <f t="shared" si="6"/>
        <v>28155.600000000002</v>
      </c>
      <c r="I163" s="4">
        <f t="shared" si="7"/>
        <v>0</v>
      </c>
      <c r="J163" s="31">
        <f>RDG!I45</f>
        <v>6118</v>
      </c>
      <c r="K163" s="31">
        <f>RDG!J45</f>
        <v>5631</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2754312</v>
      </c>
      <c r="I166" s="4">
        <f t="shared" si="7"/>
        <v>0</v>
      </c>
      <c r="J166" s="31">
        <f>RDG!I48</f>
        <v>571202</v>
      </c>
      <c r="K166" s="31">
        <f>RDG!J48</f>
        <v>549039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2756517.12</v>
      </c>
      <c r="I169" s="4">
        <f t="shared" si="7"/>
        <v>0</v>
      </c>
      <c r="J169" s="31">
        <f>RDG!I51</f>
        <v>563070</v>
      </c>
      <c r="K169" s="31">
        <f>RDG!J51</f>
        <v>538857</v>
      </c>
    </row>
    <row r="170" spans="4:11" ht="12.75">
      <c r="D170" s="4" t="s">
        <v>541</v>
      </c>
      <c r="E170" s="4">
        <v>2</v>
      </c>
      <c r="F170" s="4">
        <f>RDG!G52</f>
        <v>169</v>
      </c>
      <c r="G170" s="4">
        <f>IF(RDG!H52=0,"",RDG!H52)</f>
      </c>
      <c r="H170" s="30">
        <f t="shared" si="6"/>
        <v>48158.23999999999</v>
      </c>
      <c r="I170" s="4">
        <f t="shared" si="7"/>
        <v>0</v>
      </c>
      <c r="J170" s="31">
        <f>RDG!I52</f>
        <v>8132</v>
      </c>
      <c r="K170" s="31">
        <f>RDG!J52</f>
        <v>10182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70557968.43</v>
      </c>
      <c r="I178" s="4">
        <f t="shared" si="7"/>
        <v>0</v>
      </c>
      <c r="J178" s="31">
        <f>RDG!I60</f>
        <v>14942473</v>
      </c>
      <c r="K178" s="31">
        <f>RDG!J60</f>
        <v>12460393</v>
      </c>
    </row>
    <row r="179" spans="4:11" ht="12.75">
      <c r="D179" s="4" t="s">
        <v>541</v>
      </c>
      <c r="E179" s="4">
        <v>2</v>
      </c>
      <c r="F179" s="4">
        <f>RDG!G61</f>
        <v>178</v>
      </c>
      <c r="G179" s="4">
        <f>IF(RDG!H61=0,"",RDG!H61)</f>
      </c>
      <c r="H179" s="30">
        <f t="shared" si="6"/>
        <v>71654040.62</v>
      </c>
      <c r="I179" s="4">
        <f t="shared" si="7"/>
        <v>0</v>
      </c>
      <c r="J179" s="31">
        <f>RDG!I61</f>
        <v>14800407</v>
      </c>
      <c r="K179" s="31">
        <f>RDG!J61</f>
        <v>12727336</v>
      </c>
    </row>
    <row r="180" spans="4:11" ht="12.75">
      <c r="D180" s="4" t="s">
        <v>541</v>
      </c>
      <c r="E180" s="4">
        <v>2</v>
      </c>
      <c r="F180" s="4">
        <f>RDG!G62</f>
        <v>179</v>
      </c>
      <c r="G180" s="4">
        <f>IF(RDG!H62=0,"",RDG!H62)</f>
      </c>
      <c r="H180" s="30">
        <f t="shared" si="6"/>
        <v>-701357.7999999999</v>
      </c>
      <c r="I180" s="4">
        <f t="shared" si="7"/>
        <v>0</v>
      </c>
      <c r="J180" s="31">
        <f>RDG!I62</f>
        <v>142066</v>
      </c>
      <c r="K180" s="31">
        <f>RDG!J62</f>
        <v>-266943</v>
      </c>
    </row>
    <row r="181" spans="4:11" ht="12.75">
      <c r="D181" s="4" t="s">
        <v>541</v>
      </c>
      <c r="E181" s="4">
        <v>2</v>
      </c>
      <c r="F181" s="4">
        <f>RDG!G63</f>
        <v>180</v>
      </c>
      <c r="G181" s="4">
        <f>IF(RDG!H63=0,"",RDG!H63)</f>
      </c>
      <c r="H181" s="30">
        <f t="shared" si="6"/>
        <v>255718.80000000002</v>
      </c>
      <c r="I181" s="4">
        <f t="shared" si="7"/>
        <v>0</v>
      </c>
      <c r="J181" s="31">
        <f>RDG!I63</f>
        <v>142066</v>
      </c>
      <c r="K181" s="31">
        <f>RDG!J63</f>
        <v>0</v>
      </c>
    </row>
    <row r="182" spans="4:11" ht="12.75">
      <c r="D182" s="4" t="s">
        <v>541</v>
      </c>
      <c r="E182" s="4">
        <v>2</v>
      </c>
      <c r="F182" s="4">
        <f>RDG!G64</f>
        <v>181</v>
      </c>
      <c r="G182" s="4">
        <f>IF(RDG!H64=0,"",RDG!H64)</f>
      </c>
      <c r="H182" s="30">
        <f t="shared" si="6"/>
        <v>966333.6599999999</v>
      </c>
      <c r="I182" s="4">
        <f t="shared" si="7"/>
        <v>0</v>
      </c>
      <c r="J182" s="31">
        <f>RDG!I64</f>
        <v>0</v>
      </c>
      <c r="K182" s="31">
        <f>RDG!J64</f>
        <v>266943</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-717030.5999999999</v>
      </c>
      <c r="I184" s="4">
        <f t="shared" si="7"/>
        <v>0</v>
      </c>
      <c r="J184" s="31">
        <f>RDG!I66</f>
        <v>142066</v>
      </c>
      <c r="K184" s="31">
        <f>RDG!J66</f>
        <v>-266943</v>
      </c>
    </row>
    <row r="185" spans="4:11" ht="12.75">
      <c r="D185" s="4" t="s">
        <v>541</v>
      </c>
      <c r="E185" s="4">
        <v>2</v>
      </c>
      <c r="F185" s="4">
        <f>RDG!G67</f>
        <v>184</v>
      </c>
      <c r="G185" s="4">
        <f>IF(RDG!H67=0,"",RDG!H67)</f>
      </c>
      <c r="H185" s="30">
        <f t="shared" si="6"/>
        <v>261401.44</v>
      </c>
      <c r="I185" s="4">
        <f t="shared" si="7"/>
        <v>0</v>
      </c>
      <c r="J185" s="31">
        <f>RDG!I67</f>
        <v>142066</v>
      </c>
      <c r="K185" s="31">
        <f>RDG!J67</f>
        <v>0</v>
      </c>
    </row>
    <row r="186" spans="4:11" ht="12.75">
      <c r="D186" s="4" t="s">
        <v>541</v>
      </c>
      <c r="E186" s="4">
        <v>2</v>
      </c>
      <c r="F186" s="4">
        <f>RDG!G68</f>
        <v>185</v>
      </c>
      <c r="G186" s="4">
        <f>IF(RDG!H68=0,"",RDG!H68)</f>
      </c>
      <c r="H186" s="30">
        <f t="shared" si="6"/>
        <v>987689.1</v>
      </c>
      <c r="I186" s="4">
        <f t="shared" si="7"/>
        <v>0</v>
      </c>
      <c r="J186" s="31">
        <f>RDG!I68</f>
        <v>0</v>
      </c>
      <c r="K186" s="31">
        <f>RDG!J68</f>
        <v>266943</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26897511.48</v>
      </c>
      <c r="I228" s="4">
        <f t="shared" si="11"/>
        <v>0</v>
      </c>
      <c r="J228" s="31">
        <f>Dodatni!I19</f>
        <v>3209726</v>
      </c>
      <c r="K228" s="31">
        <f>Dodatni!J19</f>
        <v>4319699</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25733003.84</v>
      </c>
      <c r="I233" s="4">
        <f t="shared" si="11"/>
        <v>0</v>
      </c>
      <c r="J233" s="31">
        <f>Dodatni!I26</f>
        <v>3743076</v>
      </c>
      <c r="K233" s="31">
        <f>Dodatni!J26</f>
        <v>3674368</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256948.38</v>
      </c>
      <c r="I235" s="4">
        <f t="shared" si="11"/>
        <v>0</v>
      </c>
      <c r="J235" s="31">
        <f>Dodatni!I28</f>
        <v>22565</v>
      </c>
      <c r="K235" s="31">
        <f>Dodatni!J28</f>
        <v>43621</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1148968.6</v>
      </c>
      <c r="I240" s="4">
        <f t="shared" si="11"/>
        <v>0</v>
      </c>
      <c r="J240" s="31">
        <f>Dodatni!I33</f>
        <v>159134</v>
      </c>
      <c r="K240" s="31">
        <f>Dodatni!J33</f>
        <v>160803</v>
      </c>
    </row>
    <row r="241" spans="4:11" ht="12.75">
      <c r="D241" s="4" t="s">
        <v>1522</v>
      </c>
      <c r="E241" s="4">
        <v>3</v>
      </c>
      <c r="F241" s="4">
        <f>Dodatni!H34</f>
        <v>240</v>
      </c>
      <c r="H241" s="30">
        <f t="shared" si="10"/>
        <v>1051032</v>
      </c>
      <c r="I241" s="4">
        <f t="shared" si="11"/>
        <v>0</v>
      </c>
      <c r="J241" s="31">
        <f>Dodatni!I34</f>
        <v>205760</v>
      </c>
      <c r="K241" s="31">
        <f>Dodatni!J34</f>
        <v>116085</v>
      </c>
    </row>
    <row r="242" spans="4:11" ht="12.75">
      <c r="D242" s="4" t="s">
        <v>1522</v>
      </c>
      <c r="E242" s="4">
        <v>3</v>
      </c>
      <c r="F242" s="4">
        <f>Dodatni!H35</f>
        <v>241</v>
      </c>
      <c r="H242" s="30">
        <f t="shared" si="10"/>
        <v>4544520.13</v>
      </c>
      <c r="I242" s="4">
        <f t="shared" si="11"/>
        <v>0</v>
      </c>
      <c r="J242" s="31">
        <f>Dodatni!I35</f>
        <v>625893</v>
      </c>
      <c r="K242" s="31">
        <f>Dodatni!J35</f>
        <v>629900</v>
      </c>
    </row>
    <row r="243" spans="4:11" ht="12.75">
      <c r="D243" s="4" t="s">
        <v>1522</v>
      </c>
      <c r="E243" s="4">
        <v>3</v>
      </c>
      <c r="F243" s="4">
        <f>Dodatni!H37</f>
        <v>242</v>
      </c>
      <c r="H243" s="30">
        <f t="shared" si="10"/>
        <v>32991262.259999998</v>
      </c>
      <c r="I243" s="4">
        <f t="shared" si="11"/>
        <v>0</v>
      </c>
      <c r="J243" s="31">
        <f>Dodatni!I37</f>
        <v>4733863</v>
      </c>
      <c r="K243" s="31">
        <f>Dodatni!J37</f>
        <v>4449445</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59110287.120000005</v>
      </c>
      <c r="I247" s="4">
        <f t="shared" si="11"/>
        <v>0</v>
      </c>
      <c r="J247" s="31">
        <f>Dodatni!I43</f>
        <v>9592282</v>
      </c>
      <c r="K247" s="31">
        <f>Dodatni!J43</f>
        <v>7218145</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4676518.640000001</v>
      </c>
      <c r="I249" s="4">
        <f t="shared" si="11"/>
        <v>0</v>
      </c>
      <c r="J249" s="31">
        <f>Dodatni!I45</f>
        <v>625893</v>
      </c>
      <c r="K249" s="31">
        <f>Dodatni!J45</f>
        <v>629900</v>
      </c>
    </row>
    <row r="250" spans="4:11" ht="12.75">
      <c r="D250" s="4" t="s">
        <v>1522</v>
      </c>
      <c r="E250" s="4">
        <v>3</v>
      </c>
      <c r="F250" s="4">
        <f>Dodatni!H46</f>
        <v>249</v>
      </c>
      <c r="H250" s="30">
        <f t="shared" si="10"/>
        <v>749255.9400000001</v>
      </c>
      <c r="I250" s="4">
        <f t="shared" si="11"/>
        <v>0</v>
      </c>
      <c r="J250" s="31">
        <f>Dodatni!I46</f>
        <v>99816</v>
      </c>
      <c r="K250" s="31">
        <f>Dodatni!J46</f>
        <v>100545</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4128500.88</v>
      </c>
      <c r="I253" s="4">
        <f t="shared" si="11"/>
        <v>0</v>
      </c>
      <c r="J253" s="31">
        <f>Dodatni!I50</f>
        <v>470420</v>
      </c>
      <c r="K253" s="31">
        <f>Dodatni!J50</f>
        <v>583937</v>
      </c>
    </row>
    <row r="254" spans="4:11" ht="12.75">
      <c r="D254" s="4" t="s">
        <v>1522</v>
      </c>
      <c r="E254" s="4">
        <v>3</v>
      </c>
      <c r="F254" s="4">
        <f>Dodatni!H51</f>
        <v>253</v>
      </c>
      <c r="H254" s="30">
        <f t="shared" si="10"/>
        <v>1373835.54</v>
      </c>
      <c r="I254" s="4">
        <f t="shared" si="11"/>
        <v>0</v>
      </c>
      <c r="J254" s="31">
        <f>Dodatni!I51</f>
        <v>240918</v>
      </c>
      <c r="K254" s="31">
        <f>Dodatni!J51</f>
        <v>151050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4708471.3</v>
      </c>
      <c r="I258" s="4">
        <f t="shared" si="11"/>
        <v>0</v>
      </c>
      <c r="J258" s="31">
        <f>Dodatni!I55</f>
        <v>835090</v>
      </c>
      <c r="K258" s="31">
        <f>Dodatni!J55</f>
        <v>498500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826169.8400000001</v>
      </c>
      <c r="I263" s="4">
        <f t="shared" si="11"/>
        <v>0</v>
      </c>
      <c r="J263" s="31">
        <f>Dodatni!I60</f>
        <v>109752</v>
      </c>
      <c r="K263" s="31">
        <f>Dodatni!J60</f>
        <v>102790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280647.84</v>
      </c>
      <c r="I265" s="4">
        <f t="shared" si="11"/>
        <v>0</v>
      </c>
      <c r="J265" s="31">
        <f>Dodatni!I62</f>
        <v>31620</v>
      </c>
      <c r="K265" s="31">
        <f>Dodatni!J62</f>
        <v>37343</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5209981.68</v>
      </c>
      <c r="I268" s="4">
        <f t="shared" si="11"/>
        <v>0</v>
      </c>
      <c r="J268" s="31">
        <f>Dodatni!I65</f>
        <v>580404</v>
      </c>
      <c r="K268" s="31">
        <f>Dodatni!J65</f>
        <v>685450</v>
      </c>
    </row>
    <row r="269" spans="4:11" ht="12.75">
      <c r="D269" s="4" t="s">
        <v>1522</v>
      </c>
      <c r="E269" s="4">
        <v>3</v>
      </c>
      <c r="F269" s="4">
        <f>Dodatni!H66</f>
        <v>268</v>
      </c>
      <c r="H269" s="30">
        <f t="shared" si="10"/>
        <v>163480</v>
      </c>
      <c r="I269" s="4">
        <f t="shared" si="11"/>
        <v>0</v>
      </c>
      <c r="J269" s="31">
        <f>Dodatni!I66</f>
        <v>31000</v>
      </c>
      <c r="K269" s="31">
        <f>Dodatni!J66</f>
        <v>15000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7288.400000000001</v>
      </c>
      <c r="I275" s="4">
        <f aca="true" t="shared" si="13" ref="I275:I284">ABS(ROUND(J275,0)-J275)+ABS(ROUND(K275,0)-K275)</f>
        <v>0</v>
      </c>
      <c r="J275" s="31">
        <f>Dodatni!I73</f>
        <v>2644</v>
      </c>
      <c r="K275" s="31">
        <f>Dodatni!J73</f>
        <v>8</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4544971.68</v>
      </c>
      <c r="I278" s="4">
        <f t="shared" si="13"/>
        <v>0</v>
      </c>
      <c r="J278" s="31">
        <f>Dodatni!I76</f>
        <v>563070</v>
      </c>
      <c r="K278" s="31">
        <f>Dodatni!J76</f>
        <v>538857</v>
      </c>
    </row>
    <row r="279" spans="4:11" ht="12.75">
      <c r="D279" s="4" t="s">
        <v>1522</v>
      </c>
      <c r="E279" s="4">
        <v>3</v>
      </c>
      <c r="F279" s="4">
        <f>Dodatni!H78</f>
        <v>278</v>
      </c>
      <c r="H279" s="30">
        <f t="shared" si="12"/>
        <v>12336383.440000001</v>
      </c>
      <c r="I279" s="4">
        <f t="shared" si="13"/>
        <v>0</v>
      </c>
      <c r="J279" s="31">
        <f>Dodatni!I78</f>
        <v>3511386</v>
      </c>
      <c r="K279" s="31">
        <f>Dodatni!J78</f>
        <v>463081</v>
      </c>
    </row>
    <row r="280" spans="4:11" ht="12.75">
      <c r="D280" s="4" t="s">
        <v>1522</v>
      </c>
      <c r="E280" s="4">
        <v>3</v>
      </c>
      <c r="F280" s="4">
        <f>Dodatni!H79</f>
        <v>279</v>
      </c>
      <c r="H280" s="30">
        <f t="shared" si="12"/>
        <v>9197742.78</v>
      </c>
      <c r="I280" s="4">
        <f t="shared" si="13"/>
        <v>0</v>
      </c>
      <c r="J280" s="31">
        <f>Dodatni!I79</f>
        <v>3296682</v>
      </c>
      <c r="K280" s="31">
        <f>Dodatni!J79</f>
        <v>0</v>
      </c>
    </row>
    <row r="281" spans="4:11" ht="12.75">
      <c r="D281" s="4" t="s">
        <v>1522</v>
      </c>
      <c r="E281" s="4">
        <v>3</v>
      </c>
      <c r="F281" s="4">
        <f>Dodatni!H80</f>
        <v>280</v>
      </c>
      <c r="H281" s="30">
        <f t="shared" si="12"/>
        <v>2999256.4</v>
      </c>
      <c r="I281" s="4">
        <f t="shared" si="13"/>
        <v>0</v>
      </c>
      <c r="J281" s="31">
        <f>Dodatni!I80</f>
        <v>145001</v>
      </c>
      <c r="K281" s="31">
        <f>Dodatni!J80</f>
        <v>463081</v>
      </c>
    </row>
    <row r="282" spans="4:11" ht="12.75">
      <c r="D282" s="4" t="s">
        <v>1522</v>
      </c>
      <c r="E282" s="4">
        <v>3</v>
      </c>
      <c r="F282" s="4">
        <f>Dodatni!H81</f>
        <v>281</v>
      </c>
      <c r="H282" s="30">
        <f t="shared" si="12"/>
        <v>195865.43</v>
      </c>
      <c r="I282" s="4">
        <f t="shared" si="13"/>
        <v>0</v>
      </c>
      <c r="J282" s="31">
        <f>Dodatni!I81</f>
        <v>69703</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10473357.39</v>
      </c>
      <c r="I284" s="4">
        <f t="shared" si="13"/>
        <v>0</v>
      </c>
      <c r="J284" s="31">
        <f>Dodatni!I83</f>
        <v>2426595</v>
      </c>
      <c r="K284" s="31">
        <f>Dodatni!J83</f>
        <v>637119</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94"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Zračna luka Osijek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3</v>
      </c>
      <c r="T3" s="211" t="s">
        <v>777</v>
      </c>
      <c r="U3" s="232">
        <f>RefStr!L21</f>
        <v>0</v>
      </c>
      <c r="V3" s="211" t="s">
        <v>2355</v>
      </c>
      <c r="W3" s="232">
        <f>RefStr!C31</f>
        <v>31000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1</v>
      </c>
      <c r="L4" s="3"/>
      <c r="M4" s="3"/>
      <c r="N4" s="208" t="s">
        <v>1522</v>
      </c>
      <c r="O4" s="211">
        <f>Dodatni!Q1</f>
        <v>1</v>
      </c>
      <c r="P4" s="212">
        <f>Dodatni!Q2</f>
        <v>1</v>
      </c>
      <c r="Q4" s="232">
        <f>Dodatni!Q3</f>
        <v>1</v>
      </c>
      <c r="R4" s="211" t="s">
        <v>1199</v>
      </c>
      <c r="S4" s="232">
        <f>IF(RefStr!C52&lt;&gt;"",IF(ISERROR(INT(RefStr!C52)),0,RefStr!C52),0)</f>
        <v>11</v>
      </c>
      <c r="T4" s="211" t="s">
        <v>2718</v>
      </c>
      <c r="U4" s="232" t="str">
        <f>RefStr!C27</f>
        <v>48188420009</v>
      </c>
      <c r="V4" s="211" t="s">
        <v>2356</v>
      </c>
      <c r="W4" s="232" t="str">
        <f>RefStr!F31</f>
        <v>Osijek</v>
      </c>
      <c r="X4" s="234" t="s">
        <v>222</v>
      </c>
      <c r="Y4" s="235" t="str">
        <f>RefStr!I68</f>
        <v>NE</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1</v>
      </c>
      <c r="T5" s="211" t="s">
        <v>2352</v>
      </c>
      <c r="U5" s="232" t="str">
        <f>RefStr!H27</f>
        <v>03361721</v>
      </c>
      <c r="V5" s="211" t="s">
        <v>2357</v>
      </c>
      <c r="W5" s="232" t="str">
        <f>RefStr!C33</f>
        <v>Klisa, Vukovarska ulica 67</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030026579</v>
      </c>
      <c r="V6" s="211" t="s">
        <v>2568</v>
      </c>
      <c r="W6" s="232" t="str">
        <f>RefStr!L35</f>
        <v>031/514-402</v>
      </c>
      <c r="X6" s="211" t="s">
        <v>2514</v>
      </c>
      <c r="Y6" s="232" t="str">
        <f>RefStr!C68</f>
        <v>Đurđica Pancić</v>
      </c>
      <c r="Z6" s="211" t="s">
        <v>1415</v>
      </c>
      <c r="AA6" s="232">
        <f>RefStr!C46</f>
        <v>0</v>
      </c>
    </row>
    <row r="7" spans="1:27" ht="13.5" customHeight="1">
      <c r="A7" s="496"/>
      <c r="B7" s="497"/>
      <c r="C7" s="497"/>
      <c r="D7" s="497"/>
      <c r="E7" s="497"/>
      <c r="F7" s="497"/>
      <c r="G7" s="497"/>
      <c r="H7" s="497"/>
      <c r="I7" s="222" t="s">
        <v>16</v>
      </c>
      <c r="J7" s="224">
        <f>SUM(M12:M120)</f>
        <v>3</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INGO@OSIJEK-AIRPORT.HR</v>
      </c>
      <c r="X7" s="211" t="s">
        <v>2515</v>
      </c>
      <c r="Y7" s="232" t="str">
        <f>RefStr!C70</f>
        <v>031/514-402</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5223</v>
      </c>
      <c r="X8" s="211" t="s">
        <v>2516</v>
      </c>
      <c r="Y8" s="232" t="str">
        <f>TRIM(UPPER(RefStr!C72))</f>
        <v>DJURDJICA.PANCIC@OSIJEK-AIRPORT.HR</v>
      </c>
      <c r="Z8" s="236" t="s">
        <v>218</v>
      </c>
      <c r="AA8" s="237" t="str">
        <f>RefStr!I56</f>
        <v>NE</v>
      </c>
    </row>
    <row r="9" spans="1:27" ht="13.5" customHeight="1">
      <c r="A9" s="506" t="s">
        <v>566</v>
      </c>
      <c r="B9" s="506"/>
      <c r="C9" s="506" t="s">
        <v>727</v>
      </c>
      <c r="D9" s="506"/>
      <c r="E9" s="506"/>
      <c r="F9" s="506"/>
      <c r="G9" s="506"/>
      <c r="H9" s="506"/>
      <c r="I9" s="506"/>
      <c r="J9" s="506"/>
      <c r="L9" s="195"/>
      <c r="M9" s="195"/>
      <c r="O9" s="230" t="s">
        <v>614</v>
      </c>
      <c r="P9" s="209">
        <f>RefStr!C58</f>
        <v>51</v>
      </c>
      <c r="Q9" s="231">
        <f>RefStr!F58</f>
        <v>0</v>
      </c>
      <c r="R9" s="211" t="s">
        <v>1860</v>
      </c>
      <c r="S9" s="232">
        <f>IF(RefStr!F4&lt;&gt;"",RefStr!F4,0)</f>
        <v>43100</v>
      </c>
      <c r="T9" s="211" t="s">
        <v>1821</v>
      </c>
      <c r="U9" s="232">
        <f>RefStr!C39</f>
        <v>312</v>
      </c>
      <c r="V9" s="211" t="s">
        <v>1414</v>
      </c>
      <c r="W9" s="232" t="str">
        <f>RefStr!D42</f>
        <v>Uslužne djelatnosti u vezi sa zračnim ...</v>
      </c>
      <c r="X9" s="238" t="s">
        <v>221</v>
      </c>
      <c r="Y9" s="239" t="str">
        <f>RefStr!I66</f>
        <v>NE</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52</v>
      </c>
      <c r="Q10" s="233">
        <f>RefStr!F56</f>
        <v>0</v>
      </c>
      <c r="R10" s="213" t="s">
        <v>1863</v>
      </c>
      <c r="S10" s="233">
        <f>RefStr!C23</f>
        <v>1</v>
      </c>
      <c r="T10" s="213" t="s">
        <v>2573</v>
      </c>
      <c r="U10" s="233" t="str">
        <f>RefStr!D39</f>
        <v>Osijek</v>
      </c>
      <c r="V10" s="240"/>
      <c r="W10" s="241"/>
      <c r="X10" s="242" t="s">
        <v>1974</v>
      </c>
      <c r="Y10" s="243">
        <f>RefStr!F12</f>
        <v>2017</v>
      </c>
      <c r="Z10" s="213" t="s">
        <v>209</v>
      </c>
      <c r="AA10" s="233" t="str">
        <f>RefStr!A75</f>
        <v>Davor Forgić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0"/>
      <c r="E50" s="490"/>
      <c r="F50" s="490"/>
      <c r="G50" s="490"/>
      <c r="H50" s="490"/>
      <c r="I50" s="490"/>
      <c r="J50" s="490"/>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0</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90" t="s">
        <v>332</v>
      </c>
      <c r="D76" s="490"/>
      <c r="E76" s="490"/>
      <c r="F76" s="490"/>
      <c r="G76" s="490"/>
      <c r="H76" s="490"/>
      <c r="I76" s="490"/>
      <c r="J76" s="490"/>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Provjera</v>
      </c>
      <c r="C96" s="490" t="s">
        <v>757</v>
      </c>
      <c r="D96" s="490"/>
      <c r="E96" s="490"/>
      <c r="F96" s="490"/>
      <c r="G96" s="490"/>
      <c r="H96" s="490"/>
      <c r="I96" s="490"/>
      <c r="J96" s="490"/>
      <c r="L96" s="195">
        <v>0</v>
      </c>
      <c r="M96" s="195">
        <f aca="true" t="shared" si="16" ref="M96:M105">MAX(N96:W96)</f>
        <v>1</v>
      </c>
      <c r="N96" s="195">
        <f>IF(AND(P9=0,Q9&gt;2,P8&gt;0),1,0)</f>
        <v>0</v>
      </c>
      <c r="O96" s="195">
        <f>IF(AND(P10=0,Q10&gt;2,P8&gt;0),1,0)</f>
        <v>0</v>
      </c>
      <c r="P96" s="195">
        <f>IF(AND(P9&gt;2,Q9=0,P8&gt;0),1,0)</f>
        <v>1</v>
      </c>
      <c r="Q96" s="198">
        <f>IF(AND(P10&gt;2,Q10=0,P8&gt;0),1,0)</f>
        <v>1</v>
      </c>
      <c r="R96" s="198">
        <f>IF(AND(P9+Q9&gt;10,OR(P9&lt;0.39*(P9+Q9),Q9&lt;0.39*(P9+Q9))),1,0)</f>
        <v>1</v>
      </c>
      <c r="S96" s="198">
        <f>IF(AND(P10+Q10&gt;10,OR(P10&lt;0.39*(P10+Q10),Q10&lt;0.39*(P10+Q10))),1,0)</f>
        <v>1</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Pogreška</v>
      </c>
      <c r="C106" s="490" t="s">
        <v>1131</v>
      </c>
      <c r="D106" s="490"/>
      <c r="E106" s="490"/>
      <c r="F106" s="490"/>
      <c r="G106" s="490"/>
      <c r="H106" s="490"/>
      <c r="I106" s="490"/>
      <c r="J106" s="490"/>
      <c r="L106" s="195">
        <f>MAX(N106:R106)</f>
        <v>1</v>
      </c>
      <c r="M106" s="200"/>
      <c r="N106" s="200">
        <f>IF(MID(P106,2,1)&lt;&gt;".",1,0)</f>
        <v>1</v>
      </c>
      <c r="O106" s="200">
        <f>IF(MID(P106,6,1)&lt;&gt;",",1,0)</f>
        <v>1</v>
      </c>
      <c r="P106" s="195" t="str">
        <f>TEXT(1000.1,"#.000,00")</f>
        <v>1000.10000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https://osijekairporthr-my.sharepoint.com/personal/krasnodar_brlekovic_osijek-airport_hr/Documents/GFI POD/[GFI_POD2017.xls]Kont</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Provjera</v>
      </c>
      <c r="C120" s="490" t="s">
        <v>1452</v>
      </c>
      <c r="D120" s="490"/>
      <c r="E120" s="490"/>
      <c r="F120" s="490"/>
      <c r="G120" s="490"/>
      <c r="H120" s="490"/>
      <c r="I120" s="490"/>
      <c r="J120" s="490"/>
      <c r="L120" s="195">
        <v>0</v>
      </c>
      <c r="M120" s="195">
        <f>MAX(N120:O120)</f>
        <v>1</v>
      </c>
      <c r="N120" s="195">
        <f>IF(AND(RDG!I21&gt;40000,OR(P9=0,P10=0)),1,0)</f>
        <v>0</v>
      </c>
      <c r="O120" s="195">
        <f>IF(AND(RDG!J21&gt;40000,OR(Q9=0,Q10=0)),1,0)</f>
        <v>1</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row r="154" ht="9.7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38" activePane="bottomLeft" state="frozen"/>
      <selection pane="topLeft" activeCell="A1" sqref="A1"/>
      <selection pane="bottomLeft" activeCell="L21" sqref="L21:N2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336172.1</v>
      </c>
    </row>
    <row r="13" spans="4:17" ht="9.75" customHeight="1">
      <c r="D13" s="156"/>
      <c r="E13" s="162"/>
      <c r="H13" s="27"/>
      <c r="I13" s="163"/>
      <c r="J13" s="163"/>
      <c r="K13" s="156"/>
      <c r="L13" s="156"/>
      <c r="M13" s="156"/>
      <c r="N13" s="156"/>
      <c r="P13" s="54" t="s">
        <v>2353</v>
      </c>
      <c r="Q13" s="55">
        <f>INT(VALUE(M27))/50</f>
        <v>600531.58</v>
      </c>
    </row>
    <row r="14" spans="1:17" ht="15">
      <c r="A14" s="321" t="s">
        <v>2714</v>
      </c>
      <c r="B14" s="321"/>
      <c r="C14" s="321"/>
      <c r="D14" s="164"/>
      <c r="E14" s="165"/>
      <c r="F14" s="319"/>
      <c r="G14" s="320"/>
      <c r="H14" s="320"/>
      <c r="I14" s="156"/>
      <c r="J14" s="327" t="s">
        <v>2100</v>
      </c>
      <c r="K14" s="328"/>
      <c r="L14" s="328"/>
      <c r="M14" s="328"/>
      <c r="N14" s="328"/>
      <c r="P14" s="54" t="s">
        <v>2718</v>
      </c>
      <c r="Q14" s="55">
        <f>INT(VALUE(C27))/100</f>
        <v>481884200.09</v>
      </c>
    </row>
    <row r="15" spans="1:17" ht="19.5" customHeight="1">
      <c r="A15" s="324">
        <f>Skriveni!B59</f>
        <v>2073694375.5300007</v>
      </c>
      <c r="B15" s="325"/>
      <c r="C15" s="326"/>
      <c r="D15" s="60"/>
      <c r="E15" s="60"/>
      <c r="F15" s="60"/>
      <c r="G15" s="60"/>
      <c r="H15" s="60"/>
      <c r="I15" s="60"/>
      <c r="J15" s="60"/>
      <c r="K15" s="60"/>
      <c r="L15" s="60"/>
      <c r="M15" s="60"/>
      <c r="N15" s="60"/>
      <c r="P15" s="54" t="s">
        <v>1817</v>
      </c>
      <c r="Q15" s="55">
        <f>LEN(Skriveni!B9)</f>
        <v>25</v>
      </c>
    </row>
    <row r="16" spans="4:17" ht="12.75" customHeight="1">
      <c r="D16" s="60"/>
      <c r="E16" s="60"/>
      <c r="F16" s="60"/>
      <c r="G16" s="60"/>
      <c r="H16" s="60"/>
      <c r="I16" s="60"/>
      <c r="P16" s="54" t="s">
        <v>1818</v>
      </c>
      <c r="Q16" s="55">
        <f>INT(VALUE(C31))/100</f>
        <v>310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1</v>
      </c>
      <c r="D19" s="371" t="str">
        <f>IF(C19="","Svrha predaje nije upisana",IF(ISNA(LOOKUP(C19,A118:A120,A118:A120)),"Nepostojeća ili neprepoznatljiva svrha predaje",IF(LOOKUP(C19,A118:A120,A118:A120)&lt;&gt;C19,"Nepostojeća ili neprepoznatljiva svrha predaje",LOOKUP(C19,A118:A120,B118:B120))))</f>
        <v>Predaja samo u statističke svrhe</v>
      </c>
      <c r="E19" s="372"/>
      <c r="F19" s="372"/>
      <c r="G19" s="372"/>
      <c r="H19" s="372"/>
      <c r="I19" s="347" t="s">
        <v>1729</v>
      </c>
      <c r="J19" s="373"/>
      <c r="K19" s="373"/>
      <c r="L19" s="373"/>
      <c r="M19" s="373"/>
      <c r="N19" s="36" t="s">
        <v>2139</v>
      </c>
      <c r="P19" s="54" t="s">
        <v>1820</v>
      </c>
      <c r="Q19" s="55">
        <f>LEN(Skriveni!B12)</f>
        <v>26</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312</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5223</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31000</v>
      </c>
      <c r="D31" s="335" t="s">
        <v>693</v>
      </c>
      <c r="E31" s="336"/>
      <c r="F31" s="316" t="s">
        <v>2185</v>
      </c>
      <c r="G31" s="337"/>
      <c r="H31" s="337"/>
      <c r="I31" s="337"/>
      <c r="J31" s="337"/>
      <c r="K31" s="337"/>
      <c r="L31" s="338"/>
      <c r="N31" s="60"/>
      <c r="P31" s="54" t="s">
        <v>514</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312</v>
      </c>
      <c r="D39" s="348" t="str">
        <f>IF(C39="","Šifra grada/općine nije upisana",IF(ISNA(LOOKUP(C39,A177:A732,A177:A732)),"Šifra grada/općine ne postoji",IF(LOOKUP(C39,A177:A732,A177:A732)&lt;&gt;C39,"Šifra grada/općine ne postoji",LOOKUP(C39,A177:A732,B177:B732))))</f>
        <v>Osijek</v>
      </c>
      <c r="E39" s="349"/>
      <c r="F39" s="349"/>
      <c r="G39" s="349"/>
      <c r="H39" s="272" t="s">
        <v>2222</v>
      </c>
      <c r="I39" s="344"/>
      <c r="J39" s="58">
        <f>IF(C39&gt;0,LOOKUP(C39,A177:A732,C177:C732),"")</f>
        <v>14</v>
      </c>
      <c r="K39" s="351" t="str">
        <f>IF(J39="","Treba prvo upisati šifru grada/općine",LOOKUP(J39,A153:A173,B153:B173))</f>
        <v>OSIJEČKO-BARANJSKA</v>
      </c>
      <c r="L39" s="351"/>
      <c r="M39" s="351"/>
      <c r="N39" s="351"/>
      <c r="P39" s="54" t="s">
        <v>1826</v>
      </c>
      <c r="Q39" s="55">
        <f>C56+2*F56+3*C58+4*F58</f>
        <v>205</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1903</v>
      </c>
      <c r="D42" s="353" t="str">
        <f>IF(C42="","Šifra NKD-a nije upisana",IF(ISNA(LOOKUP(C42,A736:A1351,A736:A1351)),"Šifra NKD-a ne postoji",IF(LOOKUP(C42,A736:A1351,A736:A1351)&lt;&gt;C42,"Šifra NKD-a ne postoji",LOOKUP(C42,A736:A1351,B736:B1351))))</f>
        <v>Uslužne djelatnosti u vezi sa zračnim ...</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3</v>
      </c>
      <c r="D50" s="379" t="str">
        <f>IF(C50="","Oznaka veličine nije upisana",IF(ISNA(LOOKUP(C50,A124:A127,A124:A127)),"Nepostojeća oznaka veličine",IF(LOOKUP(C50,A124:A127,A124:A127)&lt;&gt;C50,"Nepostojeća oznaka veličine",LOOKUP(C50,A124:A127,B124:B127))))</f>
        <v>Srednji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52</v>
      </c>
      <c r="D56" s="270" t="s">
        <v>2898</v>
      </c>
      <c r="E56" s="380"/>
      <c r="F56" s="44"/>
      <c r="G56" s="270" t="s">
        <v>2899</v>
      </c>
      <c r="H56" s="271"/>
      <c r="I56" s="226" t="s">
        <v>2619</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51</v>
      </c>
      <c r="D58" s="278" t="s">
        <v>2898</v>
      </c>
      <c r="E58" s="278"/>
      <c r="F58" s="44"/>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2619</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2619</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2962</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v>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9" activePane="bottomLeft" state="frozen"/>
      <selection pane="topLeft" activeCell="A1" sqref="A1"/>
      <selection pane="bottomLeft" activeCell="A75" sqref="A75:J7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48188420009; Zračna luka Osijek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90370614</v>
      </c>
      <c r="J10" s="70">
        <f>J11+J18+J28+J39+J44</f>
        <v>89807774</v>
      </c>
    </row>
    <row r="11" spans="1:10" ht="13.5" customHeight="1">
      <c r="A11" s="384" t="s">
        <v>1850</v>
      </c>
      <c r="B11" s="384"/>
      <c r="C11" s="384"/>
      <c r="D11" s="384"/>
      <c r="E11" s="384"/>
      <c r="F11" s="384"/>
      <c r="G11" s="19">
        <v>3</v>
      </c>
      <c r="H11" s="20"/>
      <c r="I11" s="70">
        <f>SUM(I12:I17)</f>
        <v>251482</v>
      </c>
      <c r="J11" s="70">
        <f>SUM(J12:J17)</f>
        <v>82967</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221532</v>
      </c>
      <c r="J13" s="71">
        <v>82967</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v>29950</v>
      </c>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90037282</v>
      </c>
      <c r="J18" s="70">
        <f>SUM(J19:J27)</f>
        <v>89642957</v>
      </c>
    </row>
    <row r="19" spans="1:10" ht="13.5" customHeight="1">
      <c r="A19" s="383" t="s">
        <v>2176</v>
      </c>
      <c r="B19" s="383"/>
      <c r="C19" s="383"/>
      <c r="D19" s="383"/>
      <c r="E19" s="383"/>
      <c r="F19" s="383"/>
      <c r="G19" s="19">
        <v>11</v>
      </c>
      <c r="H19" s="20"/>
      <c r="I19" s="71">
        <v>14647171</v>
      </c>
      <c r="J19" s="71">
        <v>15329565</v>
      </c>
    </row>
    <row r="20" spans="1:10" ht="13.5" customHeight="1">
      <c r="A20" s="383" t="s">
        <v>543</v>
      </c>
      <c r="B20" s="383"/>
      <c r="C20" s="383"/>
      <c r="D20" s="383"/>
      <c r="E20" s="383"/>
      <c r="F20" s="383"/>
      <c r="G20" s="19">
        <v>12</v>
      </c>
      <c r="H20" s="20"/>
      <c r="I20" s="71">
        <v>68505145</v>
      </c>
      <c r="J20" s="71">
        <v>67346468</v>
      </c>
    </row>
    <row r="21" spans="1:10" ht="13.5" customHeight="1">
      <c r="A21" s="383" t="s">
        <v>2177</v>
      </c>
      <c r="B21" s="383"/>
      <c r="C21" s="383"/>
      <c r="D21" s="383"/>
      <c r="E21" s="383"/>
      <c r="F21" s="383"/>
      <c r="G21" s="19">
        <v>13</v>
      </c>
      <c r="H21" s="20"/>
      <c r="I21" s="71">
        <v>1804588</v>
      </c>
      <c r="J21" s="71">
        <v>1942706</v>
      </c>
    </row>
    <row r="22" spans="1:10" ht="13.5" customHeight="1">
      <c r="A22" s="383" t="s">
        <v>2290</v>
      </c>
      <c r="B22" s="383"/>
      <c r="C22" s="383"/>
      <c r="D22" s="383"/>
      <c r="E22" s="383"/>
      <c r="F22" s="383"/>
      <c r="G22" s="19">
        <v>14</v>
      </c>
      <c r="H22" s="20"/>
      <c r="I22" s="71">
        <v>539560</v>
      </c>
      <c r="J22" s="71">
        <v>468644</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4404610</v>
      </c>
      <c r="J25" s="71">
        <v>4436955</v>
      </c>
    </row>
    <row r="26" spans="1:10" ht="13.5" customHeight="1">
      <c r="A26" s="383" t="s">
        <v>1084</v>
      </c>
      <c r="B26" s="383"/>
      <c r="C26" s="383"/>
      <c r="D26" s="383"/>
      <c r="E26" s="383"/>
      <c r="F26" s="383"/>
      <c r="G26" s="19">
        <v>18</v>
      </c>
      <c r="H26" s="20"/>
      <c r="I26" s="71">
        <v>136208</v>
      </c>
      <c r="J26" s="71">
        <v>118619</v>
      </c>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81850</v>
      </c>
      <c r="J28" s="70">
        <f>SUM(J29:J38)</f>
        <v>81850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v>69400</v>
      </c>
      <c r="J33" s="71">
        <v>69400</v>
      </c>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v>12450</v>
      </c>
      <c r="J36" s="71">
        <v>12450</v>
      </c>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669152</v>
      </c>
      <c r="J45" s="70">
        <f>J46+J54+J61+J71</f>
        <v>786237</v>
      </c>
    </row>
    <row r="46" spans="1:10" ht="13.5" customHeight="1">
      <c r="A46" s="384" t="s">
        <v>2647</v>
      </c>
      <c r="B46" s="384"/>
      <c r="C46" s="384"/>
      <c r="D46" s="384"/>
      <c r="E46" s="384"/>
      <c r="F46" s="384"/>
      <c r="G46" s="19">
        <v>38</v>
      </c>
      <c r="H46" s="20"/>
      <c r="I46" s="70">
        <f>SUM(I47:I53)</f>
        <v>130600</v>
      </c>
      <c r="J46" s="70">
        <f>SUM(J47:J53)</f>
        <v>119551</v>
      </c>
    </row>
    <row r="47" spans="1:10" ht="13.5" customHeight="1">
      <c r="A47" s="383" t="s">
        <v>970</v>
      </c>
      <c r="B47" s="383"/>
      <c r="C47" s="383"/>
      <c r="D47" s="383"/>
      <c r="E47" s="383"/>
      <c r="F47" s="383"/>
      <c r="G47" s="19">
        <v>39</v>
      </c>
      <c r="H47" s="20"/>
      <c r="I47" s="71">
        <v>100991</v>
      </c>
      <c r="J47" s="71">
        <v>59647</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29609</v>
      </c>
      <c r="J50" s="71">
        <v>4361</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v>55543</v>
      </c>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491057</v>
      </c>
      <c r="J54" s="70">
        <f>SUM(J55:J60)</f>
        <v>349203</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446163</v>
      </c>
      <c r="J57" s="71">
        <v>332784</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38690</v>
      </c>
      <c r="J59" s="71">
        <v>11176</v>
      </c>
    </row>
    <row r="60" spans="1:10" ht="13.5" customHeight="1">
      <c r="A60" s="383" t="s">
        <v>2638</v>
      </c>
      <c r="B60" s="383"/>
      <c r="C60" s="383"/>
      <c r="D60" s="383"/>
      <c r="E60" s="383"/>
      <c r="F60" s="383"/>
      <c r="G60" s="19">
        <v>52</v>
      </c>
      <c r="H60" s="20"/>
      <c r="I60" s="71">
        <v>6204</v>
      </c>
      <c r="J60" s="71">
        <v>5243</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47495</v>
      </c>
      <c r="J71" s="71">
        <v>317483</v>
      </c>
    </row>
    <row r="72" spans="1:10" ht="24.75" customHeight="1">
      <c r="A72" s="381" t="s">
        <v>1558</v>
      </c>
      <c r="B72" s="381"/>
      <c r="C72" s="381"/>
      <c r="D72" s="381"/>
      <c r="E72" s="381"/>
      <c r="F72" s="381"/>
      <c r="G72" s="19">
        <v>64</v>
      </c>
      <c r="H72" s="20"/>
      <c r="I72" s="71">
        <v>84367</v>
      </c>
      <c r="J72" s="71">
        <v>173567</v>
      </c>
    </row>
    <row r="73" spans="1:10" ht="13.5" customHeight="1">
      <c r="A73" s="381" t="s">
        <v>2650</v>
      </c>
      <c r="B73" s="381"/>
      <c r="C73" s="381"/>
      <c r="D73" s="381"/>
      <c r="E73" s="381"/>
      <c r="F73" s="381"/>
      <c r="G73" s="19">
        <v>65</v>
      </c>
      <c r="H73" s="20"/>
      <c r="I73" s="70">
        <f>I9+I10+I45+I72</f>
        <v>91124133</v>
      </c>
      <c r="J73" s="70">
        <f>J9+J10+J45+J72</f>
        <v>90767578</v>
      </c>
    </row>
    <row r="74" spans="1:10" ht="13.5" customHeight="1">
      <c r="A74" s="382" t="s">
        <v>257</v>
      </c>
      <c r="B74" s="382"/>
      <c r="C74" s="382"/>
      <c r="D74" s="382"/>
      <c r="E74" s="382"/>
      <c r="F74" s="382"/>
      <c r="G74" s="21">
        <v>66</v>
      </c>
      <c r="H74" s="22"/>
      <c r="I74" s="72">
        <v>152896</v>
      </c>
      <c r="J74" s="72">
        <v>87550</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16757602</v>
      </c>
      <c r="J76" s="70">
        <f>J77+J78+J79+J85+J86+J90+J93+J96</f>
        <v>16490659</v>
      </c>
      <c r="L76" s="2" t="s">
        <v>2591</v>
      </c>
    </row>
    <row r="77" spans="1:10" ht="13.5" customHeight="1">
      <c r="A77" s="384" t="s">
        <v>935</v>
      </c>
      <c r="B77" s="384"/>
      <c r="C77" s="384"/>
      <c r="D77" s="384"/>
      <c r="E77" s="384"/>
      <c r="F77" s="384"/>
      <c r="G77" s="19">
        <v>68</v>
      </c>
      <c r="H77" s="20"/>
      <c r="I77" s="71">
        <v>26208000</v>
      </c>
      <c r="J77" s="71">
        <v>26208000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-9592464</v>
      </c>
      <c r="J90" s="70">
        <f>J91-J92</f>
        <v>-9450398</v>
      </c>
      <c r="L90" s="2" t="s">
        <v>2591</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v>9592464</v>
      </c>
      <c r="J92" s="71">
        <v>9450398</v>
      </c>
    </row>
    <row r="93" spans="1:12" ht="13.5" customHeight="1">
      <c r="A93" s="384" t="s">
        <v>2653</v>
      </c>
      <c r="B93" s="384"/>
      <c r="C93" s="384"/>
      <c r="D93" s="384"/>
      <c r="E93" s="384"/>
      <c r="F93" s="384"/>
      <c r="G93" s="19">
        <v>84</v>
      </c>
      <c r="H93" s="20"/>
      <c r="I93" s="70">
        <f>I94-I95</f>
        <v>142066</v>
      </c>
      <c r="J93" s="70">
        <f>J94-J95</f>
        <v>-266943</v>
      </c>
      <c r="L93" s="2" t="s">
        <v>2591</v>
      </c>
    </row>
    <row r="94" spans="1:10" ht="13.5" customHeight="1">
      <c r="A94" s="383" t="s">
        <v>2640</v>
      </c>
      <c r="B94" s="383"/>
      <c r="C94" s="383"/>
      <c r="D94" s="383"/>
      <c r="E94" s="383"/>
      <c r="F94" s="383"/>
      <c r="G94" s="19">
        <v>85</v>
      </c>
      <c r="H94" s="20"/>
      <c r="I94" s="71">
        <v>142066</v>
      </c>
      <c r="J94" s="71"/>
    </row>
    <row r="95" spans="1:10" ht="13.5" customHeight="1">
      <c r="A95" s="383" t="s">
        <v>1141</v>
      </c>
      <c r="B95" s="383"/>
      <c r="C95" s="383"/>
      <c r="D95" s="383"/>
      <c r="E95" s="383"/>
      <c r="F95" s="383"/>
      <c r="G95" s="19">
        <v>86</v>
      </c>
      <c r="H95" s="20"/>
      <c r="I95" s="71"/>
      <c r="J95" s="71">
        <v>266943</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55260</v>
      </c>
      <c r="J97" s="70">
        <f>SUM(J98:J103)</f>
        <v>55260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v>55260</v>
      </c>
      <c r="J100" s="71">
        <v>55260</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4341591</v>
      </c>
      <c r="J104" s="70">
        <f>SUM(J105:J115)</f>
        <v>3377976</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4341591</v>
      </c>
      <c r="J110" s="71">
        <v>3377976</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10225676</v>
      </c>
      <c r="J116" s="70">
        <f>SUM(J117:J130)</f>
        <v>12761310</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v>3088579</v>
      </c>
      <c r="J121" s="71">
        <v>4158871</v>
      </c>
    </row>
    <row r="122" spans="1:10" ht="13.5" customHeight="1">
      <c r="A122" s="383" t="s">
        <v>362</v>
      </c>
      <c r="B122" s="383"/>
      <c r="C122" s="383"/>
      <c r="D122" s="383"/>
      <c r="E122" s="383"/>
      <c r="F122" s="383"/>
      <c r="G122" s="19">
        <v>113</v>
      </c>
      <c r="H122" s="20"/>
      <c r="I122" s="71">
        <v>3352800</v>
      </c>
      <c r="J122" s="71">
        <v>3720389</v>
      </c>
    </row>
    <row r="123" spans="1:10" ht="13.5" customHeight="1">
      <c r="A123" s="383" t="s">
        <v>357</v>
      </c>
      <c r="B123" s="383"/>
      <c r="C123" s="383"/>
      <c r="D123" s="383"/>
      <c r="E123" s="383"/>
      <c r="F123" s="383"/>
      <c r="G123" s="19">
        <v>114</v>
      </c>
      <c r="H123" s="20"/>
      <c r="I123" s="71">
        <v>28000</v>
      </c>
      <c r="J123" s="71">
        <v>28205</v>
      </c>
    </row>
    <row r="124" spans="1:10" ht="13.5" customHeight="1">
      <c r="A124" s="383" t="s">
        <v>358</v>
      </c>
      <c r="B124" s="383"/>
      <c r="C124" s="383"/>
      <c r="D124" s="383"/>
      <c r="E124" s="383"/>
      <c r="F124" s="383"/>
      <c r="G124" s="19">
        <v>115</v>
      </c>
      <c r="H124" s="20"/>
      <c r="I124" s="71">
        <v>3089346</v>
      </c>
      <c r="J124" s="71">
        <v>4149959</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277654</v>
      </c>
      <c r="J126" s="71">
        <v>312367</v>
      </c>
    </row>
    <row r="127" spans="1:10" ht="13.5" customHeight="1">
      <c r="A127" s="383" t="s">
        <v>364</v>
      </c>
      <c r="B127" s="383"/>
      <c r="C127" s="383"/>
      <c r="D127" s="383"/>
      <c r="E127" s="383"/>
      <c r="F127" s="383"/>
      <c r="G127" s="19">
        <v>118</v>
      </c>
      <c r="H127" s="20"/>
      <c r="I127" s="71">
        <v>173770</v>
      </c>
      <c r="J127" s="71">
        <v>191797</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215527</v>
      </c>
      <c r="J130" s="71">
        <v>199722</v>
      </c>
    </row>
    <row r="131" spans="1:10" ht="24.75" customHeight="1">
      <c r="A131" s="381" t="s">
        <v>1560</v>
      </c>
      <c r="B131" s="381"/>
      <c r="C131" s="381"/>
      <c r="D131" s="381"/>
      <c r="E131" s="381"/>
      <c r="F131" s="381"/>
      <c r="G131" s="19">
        <v>122</v>
      </c>
      <c r="H131" s="20"/>
      <c r="I131" s="71">
        <v>59744004</v>
      </c>
      <c r="J131" s="71">
        <v>58082373</v>
      </c>
    </row>
    <row r="132" spans="1:10" ht="13.5" customHeight="1">
      <c r="A132" s="381" t="s">
        <v>2657</v>
      </c>
      <c r="B132" s="381"/>
      <c r="C132" s="381"/>
      <c r="D132" s="381"/>
      <c r="E132" s="381"/>
      <c r="F132" s="381"/>
      <c r="G132" s="19">
        <v>123</v>
      </c>
      <c r="H132" s="20"/>
      <c r="I132" s="70">
        <f>I76+I97+I104+I116+I131</f>
        <v>91124133</v>
      </c>
      <c r="J132" s="70">
        <f>J76+J97+J104+J116+J131</f>
        <v>90767578</v>
      </c>
    </row>
    <row r="133" spans="1:10" ht="13.5" customHeight="1">
      <c r="A133" s="382" t="s">
        <v>662</v>
      </c>
      <c r="B133" s="382"/>
      <c r="C133" s="382"/>
      <c r="D133" s="382"/>
      <c r="E133" s="382"/>
      <c r="F133" s="382"/>
      <c r="G133" s="21">
        <v>124</v>
      </c>
      <c r="H133" s="22"/>
      <c r="I133" s="72">
        <v>152896</v>
      </c>
      <c r="J133" s="72">
        <v>87550</v>
      </c>
    </row>
    <row r="134" ht="4.5" customHeight="1"/>
    <row r="135" ht="11.25"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9" activePane="bottomLeft" state="frozen"/>
      <selection pane="topLeft" activeCell="A1" sqref="A1"/>
      <selection pane="bottomLeft" activeCell="J37" sqref="J3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48188420009; Zračna luka Osijek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14933711</v>
      </c>
      <c r="J8" s="84">
        <f>SUM(J9:J13)</f>
        <v>12454754</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4733863</v>
      </c>
      <c r="J10" s="71">
        <v>4449445</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10199848</v>
      </c>
      <c r="J13" s="71">
        <v>8005309</v>
      </c>
    </row>
    <row r="14" spans="1:10" s="2" customFormat="1" ht="13.5" customHeight="1">
      <c r="A14" s="381" t="s">
        <v>1837</v>
      </c>
      <c r="B14" s="381"/>
      <c r="C14" s="381"/>
      <c r="D14" s="381"/>
      <c r="E14" s="381"/>
      <c r="F14" s="381"/>
      <c r="G14" s="19">
        <v>131</v>
      </c>
      <c r="H14" s="20"/>
      <c r="I14" s="70">
        <f>I15+I16+I20+I24+I25+I26+I29+I36</f>
        <v>14229205</v>
      </c>
      <c r="J14" s="70">
        <f>J15+J16+J20+J24+J25+J26+J29+J36</f>
        <v>12178297</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5164057</v>
      </c>
      <c r="J16" s="70">
        <f>SUM(J17:J19)</f>
        <v>4230955</v>
      </c>
    </row>
    <row r="17" spans="1:10" s="2" customFormat="1" ht="13.5" customHeight="1">
      <c r="A17" s="409" t="s">
        <v>504</v>
      </c>
      <c r="B17" s="409"/>
      <c r="C17" s="409"/>
      <c r="D17" s="409"/>
      <c r="E17" s="409"/>
      <c r="F17" s="409"/>
      <c r="G17" s="19">
        <v>134</v>
      </c>
      <c r="H17" s="20"/>
      <c r="I17" s="71">
        <v>781230</v>
      </c>
      <c r="J17" s="71">
        <v>729750</v>
      </c>
    </row>
    <row r="18" spans="1:10" s="2" customFormat="1" ht="13.5" customHeight="1">
      <c r="A18" s="409" t="s">
        <v>505</v>
      </c>
      <c r="B18" s="409"/>
      <c r="C18" s="409"/>
      <c r="D18" s="409"/>
      <c r="E18" s="409"/>
      <c r="F18" s="409"/>
      <c r="G18" s="19">
        <v>135</v>
      </c>
      <c r="H18" s="20"/>
      <c r="I18" s="71">
        <v>269731</v>
      </c>
      <c r="J18" s="71">
        <v>112802</v>
      </c>
    </row>
    <row r="19" spans="1:10" s="2" customFormat="1" ht="13.5" customHeight="1">
      <c r="A19" s="409" t="s">
        <v>1426</v>
      </c>
      <c r="B19" s="409"/>
      <c r="C19" s="409"/>
      <c r="D19" s="409"/>
      <c r="E19" s="409"/>
      <c r="F19" s="409"/>
      <c r="G19" s="19">
        <v>136</v>
      </c>
      <c r="H19" s="20"/>
      <c r="I19" s="71">
        <v>4113096</v>
      </c>
      <c r="J19" s="71">
        <v>3388403</v>
      </c>
    </row>
    <row r="20" spans="1:10" s="2" customFormat="1" ht="13.5" customHeight="1">
      <c r="A20" s="383" t="s">
        <v>1839</v>
      </c>
      <c r="B20" s="383"/>
      <c r="C20" s="383"/>
      <c r="D20" s="383"/>
      <c r="E20" s="383"/>
      <c r="F20" s="383"/>
      <c r="G20" s="19">
        <v>137</v>
      </c>
      <c r="H20" s="20"/>
      <c r="I20" s="70">
        <f>SUM(I21:I23)</f>
        <v>4707592</v>
      </c>
      <c r="J20" s="70">
        <f>SUM(J21:J23)</f>
        <v>5121016</v>
      </c>
    </row>
    <row r="21" spans="1:10" s="2" customFormat="1" ht="13.5" customHeight="1">
      <c r="A21" s="409" t="s">
        <v>724</v>
      </c>
      <c r="B21" s="409"/>
      <c r="C21" s="409"/>
      <c r="D21" s="409"/>
      <c r="E21" s="409"/>
      <c r="F21" s="409"/>
      <c r="G21" s="19">
        <v>138</v>
      </c>
      <c r="H21" s="20"/>
      <c r="I21" s="71">
        <v>3031760</v>
      </c>
      <c r="J21" s="71">
        <v>3333461</v>
      </c>
    </row>
    <row r="22" spans="1:10" s="2" customFormat="1" ht="13.5" customHeight="1">
      <c r="A22" s="409" t="s">
        <v>961</v>
      </c>
      <c r="B22" s="409"/>
      <c r="C22" s="409"/>
      <c r="D22" s="409"/>
      <c r="E22" s="409"/>
      <c r="F22" s="409"/>
      <c r="G22" s="19">
        <v>139</v>
      </c>
      <c r="H22" s="20"/>
      <c r="I22" s="71">
        <v>994651</v>
      </c>
      <c r="J22" s="71">
        <v>1080661</v>
      </c>
    </row>
    <row r="23" spans="1:10" s="2" customFormat="1" ht="13.5" customHeight="1">
      <c r="A23" s="409" t="s">
        <v>962</v>
      </c>
      <c r="B23" s="409"/>
      <c r="C23" s="409"/>
      <c r="D23" s="409"/>
      <c r="E23" s="409"/>
      <c r="F23" s="409"/>
      <c r="G23" s="19">
        <v>140</v>
      </c>
      <c r="H23" s="20"/>
      <c r="I23" s="71">
        <v>681181</v>
      </c>
      <c r="J23" s="71">
        <v>706894</v>
      </c>
    </row>
    <row r="24" spans="1:10" s="2" customFormat="1" ht="13.5" customHeight="1">
      <c r="A24" s="383" t="s">
        <v>259</v>
      </c>
      <c r="B24" s="383"/>
      <c r="C24" s="383"/>
      <c r="D24" s="383"/>
      <c r="E24" s="383"/>
      <c r="F24" s="383"/>
      <c r="G24" s="19">
        <v>141</v>
      </c>
      <c r="H24" s="20"/>
      <c r="I24" s="71">
        <v>1940571</v>
      </c>
      <c r="J24" s="71">
        <v>1733000</v>
      </c>
    </row>
    <row r="25" spans="1:10" s="2" customFormat="1" ht="13.5" customHeight="1">
      <c r="A25" s="383" t="s">
        <v>260</v>
      </c>
      <c r="B25" s="383"/>
      <c r="C25" s="383"/>
      <c r="D25" s="383"/>
      <c r="E25" s="383"/>
      <c r="F25" s="383"/>
      <c r="G25" s="19">
        <v>142</v>
      </c>
      <c r="H25" s="20"/>
      <c r="I25" s="71">
        <v>933829</v>
      </c>
      <c r="J25" s="71">
        <v>1062820</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55260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v>55260</v>
      </c>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1427896</v>
      </c>
      <c r="J36" s="71">
        <v>30506</v>
      </c>
    </row>
    <row r="37" spans="1:10" s="2" customFormat="1" ht="13.5" customHeight="1">
      <c r="A37" s="381" t="s">
        <v>1842</v>
      </c>
      <c r="B37" s="381"/>
      <c r="C37" s="381"/>
      <c r="D37" s="381"/>
      <c r="E37" s="381"/>
      <c r="F37" s="381"/>
      <c r="G37" s="19">
        <v>154</v>
      </c>
      <c r="H37" s="20"/>
      <c r="I37" s="70">
        <f>SUM(I38:I47)</f>
        <v>8762</v>
      </c>
      <c r="J37" s="70">
        <f>SUM(J38:J47)</f>
        <v>5639</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2644</v>
      </c>
      <c r="J44" s="71">
        <v>8</v>
      </c>
    </row>
    <row r="45" spans="1:10" s="2" customFormat="1" ht="13.5" customHeight="1">
      <c r="A45" s="383" t="s">
        <v>1428</v>
      </c>
      <c r="B45" s="383"/>
      <c r="C45" s="383"/>
      <c r="D45" s="383"/>
      <c r="E45" s="383"/>
      <c r="F45" s="383"/>
      <c r="G45" s="19">
        <v>162</v>
      </c>
      <c r="H45" s="20"/>
      <c r="I45" s="71">
        <v>6118</v>
      </c>
      <c r="J45" s="71">
        <v>5631</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571202</v>
      </c>
      <c r="J48" s="70">
        <f>SUM(J49:J55)</f>
        <v>549039</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563070</v>
      </c>
      <c r="J51" s="71">
        <v>538857</v>
      </c>
    </row>
    <row r="52" spans="1:10" s="2" customFormat="1" ht="13.5" customHeight="1">
      <c r="A52" s="403" t="s">
        <v>1439</v>
      </c>
      <c r="B52" s="403"/>
      <c r="C52" s="403"/>
      <c r="D52" s="403"/>
      <c r="E52" s="403"/>
      <c r="F52" s="403"/>
      <c r="G52" s="19">
        <v>169</v>
      </c>
      <c r="H52" s="20"/>
      <c r="I52" s="71">
        <v>8132</v>
      </c>
      <c r="J52" s="71">
        <v>10182</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14942473</v>
      </c>
      <c r="J60" s="70">
        <f>J8+J37+J56+J57</f>
        <v>12460393</v>
      </c>
    </row>
    <row r="61" spans="1:10" s="2" customFormat="1" ht="13.5" customHeight="1">
      <c r="A61" s="381" t="s">
        <v>1845</v>
      </c>
      <c r="B61" s="381"/>
      <c r="C61" s="381"/>
      <c r="D61" s="381"/>
      <c r="E61" s="381"/>
      <c r="F61" s="381"/>
      <c r="G61" s="19">
        <v>178</v>
      </c>
      <c r="H61" s="20"/>
      <c r="I61" s="70">
        <f>I14+I48+I58+I59</f>
        <v>14800407</v>
      </c>
      <c r="J61" s="70">
        <f>J14+J48+J58+J59</f>
        <v>12727336</v>
      </c>
    </row>
    <row r="62" spans="1:12" s="2" customFormat="1" ht="13.5" customHeight="1">
      <c r="A62" s="381" t="s">
        <v>2581</v>
      </c>
      <c r="B62" s="381"/>
      <c r="C62" s="381"/>
      <c r="D62" s="381"/>
      <c r="E62" s="381"/>
      <c r="F62" s="381"/>
      <c r="G62" s="19">
        <v>179</v>
      </c>
      <c r="H62" s="20"/>
      <c r="I62" s="70">
        <f>I60-I61</f>
        <v>142066</v>
      </c>
      <c r="J62" s="70">
        <f>J60-J61</f>
        <v>-266943</v>
      </c>
      <c r="L62" s="2" t="s">
        <v>2591</v>
      </c>
    </row>
    <row r="63" spans="1:10" s="2" customFormat="1" ht="13.5" customHeight="1">
      <c r="A63" s="403" t="s">
        <v>2658</v>
      </c>
      <c r="B63" s="403"/>
      <c r="C63" s="403"/>
      <c r="D63" s="403"/>
      <c r="E63" s="403"/>
      <c r="F63" s="403"/>
      <c r="G63" s="19">
        <v>180</v>
      </c>
      <c r="H63" s="20"/>
      <c r="I63" s="70">
        <f>IF(I60&gt;I61,I60-I61,0)</f>
        <v>142066</v>
      </c>
      <c r="J63" s="70">
        <f>IF(J60&gt;J61,J60-J61,0)</f>
        <v>0</v>
      </c>
    </row>
    <row r="64" spans="1:10" s="2" customFormat="1" ht="13.5" customHeight="1">
      <c r="A64" s="403" t="s">
        <v>778</v>
      </c>
      <c r="B64" s="403"/>
      <c r="C64" s="403"/>
      <c r="D64" s="403"/>
      <c r="E64" s="403"/>
      <c r="F64" s="403"/>
      <c r="G64" s="19">
        <v>181</v>
      </c>
      <c r="H64" s="20"/>
      <c r="I64" s="70">
        <f>IF(I61&gt;I60,I61-I60,0)</f>
        <v>0</v>
      </c>
      <c r="J64" s="70">
        <f>IF(J61&gt;J60,J61-J60,0)</f>
        <v>266943</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c r="I66" s="70">
        <f>I62-I65</f>
        <v>142066</v>
      </c>
      <c r="J66" s="70">
        <f>J62-J65</f>
        <v>-266943</v>
      </c>
      <c r="L66" s="2" t="s">
        <v>2591</v>
      </c>
    </row>
    <row r="67" spans="1:10" s="2" customFormat="1" ht="13.5" customHeight="1">
      <c r="A67" s="403" t="s">
        <v>779</v>
      </c>
      <c r="B67" s="403"/>
      <c r="C67" s="403"/>
      <c r="D67" s="403"/>
      <c r="E67" s="403"/>
      <c r="F67" s="403"/>
      <c r="G67" s="19">
        <v>184</v>
      </c>
      <c r="H67" s="20"/>
      <c r="I67" s="70">
        <f>IF(I66&gt;0,I66,0)</f>
        <v>142066</v>
      </c>
      <c r="J67" s="70">
        <f>IF(J66&gt;0,J66,0)</f>
        <v>0</v>
      </c>
    </row>
    <row r="68" spans="1:10" s="2" customFormat="1" ht="13.5" customHeight="1">
      <c r="A68" s="404" t="s">
        <v>1472</v>
      </c>
      <c r="B68" s="404"/>
      <c r="C68" s="404"/>
      <c r="D68" s="404"/>
      <c r="E68" s="404"/>
      <c r="F68" s="404"/>
      <c r="G68" s="21">
        <v>185</v>
      </c>
      <c r="H68" s="22"/>
      <c r="I68" s="85">
        <f>IF(I66&lt;0,-I66,0)</f>
        <v>0</v>
      </c>
      <c r="J68" s="85">
        <f>IF(J66&lt;0,-J66,0)</f>
        <v>266943</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1" activePane="bottomLeft" state="frozen"/>
      <selection pane="topLeft" activeCell="A1" sqref="A1"/>
      <selection pane="bottomLeft" activeCell="A36" sqref="A36:J3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48188420009; Zračna luka Osijek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1.25">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v>3209726</v>
      </c>
      <c r="J19" s="77">
        <v>4319699</v>
      </c>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3743076</v>
      </c>
      <c r="J26" s="77">
        <v>3674368</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v>22565</v>
      </c>
      <c r="J28" s="77">
        <v>43621</v>
      </c>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v>159134</v>
      </c>
      <c r="J33" s="77">
        <v>160803</v>
      </c>
    </row>
    <row r="34" spans="1:10" s="2" customFormat="1" ht="36" customHeight="1">
      <c r="A34" s="403" t="s">
        <v>2217</v>
      </c>
      <c r="B34" s="403"/>
      <c r="C34" s="403"/>
      <c r="D34" s="403"/>
      <c r="E34" s="403"/>
      <c r="F34" s="403"/>
      <c r="G34" s="443"/>
      <c r="H34" s="19">
        <v>240</v>
      </c>
      <c r="I34" s="77">
        <v>205760</v>
      </c>
      <c r="J34" s="77">
        <v>116085</v>
      </c>
    </row>
    <row r="35" spans="1:10" s="2" customFormat="1" ht="36" customHeight="1">
      <c r="A35" s="404" t="s">
        <v>273</v>
      </c>
      <c r="B35" s="404"/>
      <c r="C35" s="404"/>
      <c r="D35" s="404"/>
      <c r="E35" s="404"/>
      <c r="F35" s="404"/>
      <c r="G35" s="448"/>
      <c r="H35" s="21">
        <v>241</v>
      </c>
      <c r="I35" s="78">
        <v>625893</v>
      </c>
      <c r="J35" s="78">
        <v>629900</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4733863</v>
      </c>
      <c r="J37" s="94">
        <v>4449445</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v>9592282</v>
      </c>
      <c r="J43" s="77">
        <v>7218145</v>
      </c>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v>625893</v>
      </c>
      <c r="J45" s="77">
        <v>629900</v>
      </c>
    </row>
    <row r="46" spans="1:10" s="2" customFormat="1" ht="24.75" customHeight="1">
      <c r="A46" s="403" t="s">
        <v>281</v>
      </c>
      <c r="B46" s="403"/>
      <c r="C46" s="403"/>
      <c r="D46" s="403"/>
      <c r="E46" s="403"/>
      <c r="F46" s="403"/>
      <c r="G46" s="443"/>
      <c r="H46" s="19">
        <v>249</v>
      </c>
      <c r="I46" s="77">
        <v>99816</v>
      </c>
      <c r="J46" s="77">
        <v>100545</v>
      </c>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470420</v>
      </c>
      <c r="J50" s="77">
        <v>583937</v>
      </c>
    </row>
    <row r="51" spans="1:10" s="2" customFormat="1" ht="24.75" customHeight="1">
      <c r="A51" s="403" t="s">
        <v>2219</v>
      </c>
      <c r="B51" s="403"/>
      <c r="C51" s="403"/>
      <c r="D51" s="403"/>
      <c r="E51" s="403"/>
      <c r="F51" s="403"/>
      <c r="G51" s="443"/>
      <c r="H51" s="19">
        <v>253</v>
      </c>
      <c r="I51" s="77">
        <v>240918</v>
      </c>
      <c r="J51" s="77">
        <v>151050</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v>835090</v>
      </c>
      <c r="J55" s="77">
        <v>498500</v>
      </c>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109752</v>
      </c>
      <c r="J60" s="77">
        <v>102790</v>
      </c>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v>31620</v>
      </c>
      <c r="J62" s="77">
        <v>37343</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580404</v>
      </c>
      <c r="J65" s="77">
        <v>685450</v>
      </c>
    </row>
    <row r="66" spans="1:10" s="2" customFormat="1" ht="13.5" customHeight="1">
      <c r="A66" s="444" t="s">
        <v>2903</v>
      </c>
      <c r="B66" s="444"/>
      <c r="C66" s="444"/>
      <c r="D66" s="444"/>
      <c r="E66" s="444"/>
      <c r="F66" s="444"/>
      <c r="G66" s="445"/>
      <c r="H66" s="19">
        <v>268</v>
      </c>
      <c r="I66" s="77">
        <v>31000</v>
      </c>
      <c r="J66" s="77">
        <v>15000</v>
      </c>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2644</v>
      </c>
      <c r="J73" s="94">
        <v>8</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563070</v>
      </c>
      <c r="J76" s="78">
        <v>538857</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3511386</v>
      </c>
      <c r="J78" s="228">
        <f>SUM(J79:J82)</f>
        <v>463081</v>
      </c>
    </row>
    <row r="79" spans="1:10" s="2" customFormat="1" ht="13.5" customHeight="1">
      <c r="A79" s="403" t="s">
        <v>629</v>
      </c>
      <c r="B79" s="403"/>
      <c r="C79" s="403"/>
      <c r="D79" s="403"/>
      <c r="E79" s="403"/>
      <c r="F79" s="403"/>
      <c r="G79" s="443"/>
      <c r="H79" s="19">
        <v>279</v>
      </c>
      <c r="I79" s="77">
        <v>3296682</v>
      </c>
      <c r="J79" s="77"/>
    </row>
    <row r="80" spans="1:10" s="2" customFormat="1" ht="13.5" customHeight="1">
      <c r="A80" s="403" t="s">
        <v>630</v>
      </c>
      <c r="B80" s="403"/>
      <c r="C80" s="403"/>
      <c r="D80" s="403"/>
      <c r="E80" s="403"/>
      <c r="F80" s="403"/>
      <c r="G80" s="443"/>
      <c r="H80" s="19">
        <v>280</v>
      </c>
      <c r="I80" s="77">
        <v>145001</v>
      </c>
      <c r="J80" s="77">
        <v>463081</v>
      </c>
    </row>
    <row r="81" spans="1:10" s="2" customFormat="1" ht="13.5" customHeight="1">
      <c r="A81" s="403" t="s">
        <v>1</v>
      </c>
      <c r="B81" s="403"/>
      <c r="C81" s="403"/>
      <c r="D81" s="403"/>
      <c r="E81" s="403"/>
      <c r="F81" s="403"/>
      <c r="G81" s="443"/>
      <c r="H81" s="19">
        <v>281</v>
      </c>
      <c r="I81" s="77">
        <v>69703</v>
      </c>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v>2426595</v>
      </c>
      <c r="J83" s="77">
        <v>637119</v>
      </c>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48188420009; Zračna luka Osijek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48188420009; Zračna luka Osijek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1.25"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48188420009; Zračna luka Osijek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1"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Krasnodar Brlekovic</cp:lastModifiedBy>
  <cp:lastPrinted>2017-01-04T10:24:58Z</cp:lastPrinted>
  <dcterms:created xsi:type="dcterms:W3CDTF">2008-10-17T11:51:54Z</dcterms:created>
  <dcterms:modified xsi:type="dcterms:W3CDTF">2020-07-13T11:53:18Z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NewReviewCycle">
    <vt:lpwstr/>
  </property>
</Properties>
</file>