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7" yWindow="32767" windowWidth="12876" windowHeight="7560" firstSheet="1" activeTab="1"/>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fn.SINGLE" hidden="1">#NAME?</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<sst xmlns="http://schemas.openxmlformats.org/spreadsheetml/2006/main" count="4926" uniqueCount="2986">
  <si>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</si>
  <si>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</si>
  <si>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</si>
  <si>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</si>
  <si>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</si>
  <si>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</si>
  <si>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</si>
  <si>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</si>
  <si>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</si>
  <si>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</si>
  <si>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</si>
  <si>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</si>
  <si>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</si>
  <si>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</si>
  <si>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</si>
  <si>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</si>
  <si>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</si>
  <si>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</si>
  <si>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</si>
  <si>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</si>
  <si>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</si>
  <si>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</si>
  <si>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</si>
  <si>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</si>
  <si>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</si>
  <si>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</si>
  <si>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</si>
  <si>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</si>
  <si>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</si>
  <si>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</si>
  <si>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</si>
  <si>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</si>
  <si>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</si>
  <si>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</si>
  <si>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</si>
  <si>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</si>
  <si>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</si>
  <si>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</si>
  <si>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</si>
  <si>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</si>
  <si>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</si>
  <si>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</si>
  <si>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</si>
  <si>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</si>
  <si>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</si>
  <si>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</si>
  <si>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</si>
  <si>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</si>
  <si>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</si>
  <si>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</si>
  <si>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</si>
  <si>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</si>
  <si>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</si>
  <si>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</si>
  <si>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</si>
  <si>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</si>
  <si>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</si>
  <si>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</si>
  <si>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</si>
  <si>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</si>
  <si>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</si>
  <si>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</si>
  <si>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</si>
  <si>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</si>
  <si>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</si>
  <si>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</si>
  <si>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</si>
  <si>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</si>
  <si>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</si>
  <si>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</si>
  <si>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</si>
  <si>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</si>
  <si>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</si>
  <si>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</si>
  <si>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</si>
  <si>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</si>
  <si>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</si>
  <si>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</si>
  <si>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</si>
  <si>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</si>
  <si>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</si>
  <si>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</si>
  <si>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</si>
  <si>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</si>
  <si>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</si>
  <si>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</si>
  <si>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</si>
  <si>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</si>
  <si>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</si>
  <si>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</si>
  <si>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</si>
  <si>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</si>
  <si>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</si>
  <si>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</si>
  <si>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</si>
  <si>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</si>
  <si>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</si>
  <si>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</si>
  <si>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</si>
  <si>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</si>
  <si>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</si>
  <si>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</si>
  <si>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</si>
  <si>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</si>
  <si>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</si>
  <si>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</si>
  <si>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</si>
  <si>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</si>
  <si>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</si>
  <si>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</si>
  <si>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</si>
  <si>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</si>
  <si>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</si>
  <si>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</si>
  <si>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</si>
  <si>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</si>
  <si>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</si>
  <si>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</si>
  <si>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</si>
  <si>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</si>
  <si>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</si>
  <si>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</si>
  <si>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</si>
  <si>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</si>
  <si>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</si>
  <si>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</si>
  <si>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</si>
  <si>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</si>
  <si>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</si>
  <si>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</si>
  <si>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</si>
  <si>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</si>
  <si>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</si>
  <si>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</si>
  <si>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</si>
  <si>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</si>
  <si>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</si>
  <si>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</si>
  <si>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</si>
  <si>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</si>
  <si>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</si>
  <si>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</si>
  <si>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</si>
  <si>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</si>
  <si>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</si>
  <si>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</si>
  <si>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</si>
  <si>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</si>
  <si>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</si>
  <si>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</si>
  <si>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</si>
  <si>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</si>
  <si>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</si>
  <si>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</si>
  <si>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</si>
  <si>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</si>
  <si>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</si>
  <si>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</si>
  <si>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</si>
  <si>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</si>
  <si>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</si>
  <si>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</si>
  <si>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</si>
  <si>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</si>
  <si>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</si>
  <si>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</si>
  <si>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</si>
  <si>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</si>
  <si>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</si>
  <si>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</si>
  <si>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</si>
  <si>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</si>
  <si>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</si>
  <si>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</si>
  <si>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</si>
  <si>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</si>
  <si>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</si>
  <si>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</si>
  <si>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</si>
  <si>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</si>
  <si>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</si>
  <si>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</si>
  <si>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</si>
  <si>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</si>
  <si>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</si>
  <si>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</si>
  <si>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</si>
  <si>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</si>
  <si>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</si>
  <si>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</si>
  <si>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</si>
  <si>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</si>
  <si>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</si>
  <si>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</si>
  <si>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</si>
  <si>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</si>
  <si>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</si>
  <si>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</si>
  <si>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</si>
  <si>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</si>
  <si>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</si>
  <si>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</si>
  <si>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</si>
  <si>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</si>
  <si>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</si>
  <si>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</si>
  <si>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</si>
  <si>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</si>
  <si>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</si>
  <si>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</si>
  <si>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</si>
  <si>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</si>
  <si>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</si>
  <si>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</si>
  <si>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</si>
  <si>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</si>
  <si>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</si>
  <si>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</si>
  <si>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</si>
  <si>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</si>
  <si>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</si>
  <si>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</si>
  <si>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</si>
  <si>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</si>
  <si>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</si>
  <si>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</si>
  <si>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</si>
  <si>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</si>
  <si>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</si>
  <si>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</si>
  <si>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</si>
  <si>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</si>
  <si>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</si>
  <si>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</si>
  <si>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</si>
  <si>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</si>
  <si>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</si>
  <si>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</si>
  <si>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</si>
  <si>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</si>
  <si>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</si>
  <si>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</si>
  <si>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</si>
  <si>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</si>
  <si>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</si>
  <si>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</si>
  <si>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</si>
  <si>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</si>
  <si>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</si>
  <si>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</si>
  <si>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</si>
  <si>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</si>
  <si>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</si>
  <si>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</si>
  <si>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</si>
  <si>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</si>
  <si>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</si>
  <si>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</si>
  <si>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</si>
  <si>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</si>
  <si>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</si>
  <si>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</si>
  <si>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</si>
  <si>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</si>
  <si>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</si>
  <si>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</si>
  <si>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</si>
  <si>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</si>
  <si>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</si>
  <si>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</si>
  <si>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</si>
  <si>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</si>
  <si>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</si>
  <si>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</si>
  <si>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</si>
  <si>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</si>
  <si>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</si>
  <si>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</si>
  <si>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</si>
  <si>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</si>
  <si>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</si>
  <si>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</si>
  <si>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</si>
  <si>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</si>
  <si>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</si>
  <si>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</si>
  <si>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</si>
  <si>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</si>
  <si>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</si>
  <si>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</si>
  <si>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</si>
  <si>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</si>
  <si>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</si>
  <si>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</si>
  <si>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</si>
  <si>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</si>
  <si>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</si>
  <si>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</si>
  <si>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</si>
  <si>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</si>
  <si>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</si>
  <si>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</si>
  <si>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</si>
  <si>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</si>
  <si>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</si>
  <si>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</si>
  <si>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</si>
  <si>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</si>
  <si>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</si>
  <si>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</si>
  <si>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</si>
  <si>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</si>
  <si>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</si>
  <si>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</si>
  <si>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</si>
  <si>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</si>
  <si>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</si>
  <si>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</si>
  <si>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</si>
  <si>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</si>
  <si>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</si>
  <si>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</si>
  <si>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</si>
  <si>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</si>
  <si>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</si>
  <si>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</si>
  <si>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</si>
  <si>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</si>
  <si>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</si>
  <si>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</si>
  <si>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</si>
  <si>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</si>
  <si>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</si>
  <si>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</si>
  <si>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</si>
  <si>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</si>
  <si>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</si>
  <si>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</si>
  <si>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</si>
  <si>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</si>
  <si>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</si>
  <si>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</si>
  <si>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</si>
  <si>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</si>
  <si>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</si>
  <si>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</si>
  <si>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</si>
  <si>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</si>
  <si>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</si>
  <si>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</si>
  <si>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</si>
  <si>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</si>
  <si>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</si>
  <si>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</si>
  <si>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</si>
  <si>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</si>
  <si>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</si>
  <si>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</si>
  <si>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</si>
  <si>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</si>
  <si>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</si>
  <si>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</si>
  <si>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</si>
  <si>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</si>
  <si>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</si>
  <si>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</si>
  <si>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</si>
  <si>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</si>
  <si>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</si>
  <si>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</si>
  <si>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</si>
  <si>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</si>
  <si>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</si>
  <si>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</si>
  <si>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</si>
  <si>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</si>
  <si>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</si>
  <si>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</si>
  <si>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</si>
  <si>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</si>
  <si>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</si>
  <si>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</si>
  <si>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</si>
  <si>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</si>
  <si>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</si>
  <si>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</si>
  <si>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</si>
  <si>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</si>
  <si>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</si>
  <si>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</si>
  <si>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</si>
  <si>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</si>
  <si>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</si>
  <si>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</si>
  <si>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</si>
  <si>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</si>
  <si>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</si>
  <si>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</si>
  <si>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</si>
  <si>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</si>
  <si>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</si>
  <si>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</si>
  <si>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</si>
  <si>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</si>
  <si>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</si>
  <si>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</si>
  <si>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</si>
  <si>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</si>
  <si>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</si>
  <si>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</si>
  <si>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</si>
  <si>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</si>
  <si>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</si>
  <si>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</si>
  <si>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</si>
  <si>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</si>
  <si>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</si>
  <si>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</si>
  <si>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</si>
  <si>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</si>
  <si>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</si>
  <si>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</si>
  <si>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</si>
  <si>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</si>
  <si>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</si>
  <si>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</si>
  <si>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</si>
  <si>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</si>
  <si>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</si>
  <si>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</si>
  <si>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</si>
  <si>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</si>
  <si>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</si>
  <si>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</si>
  <si>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</si>
  <si>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</si>
  <si>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</si>
  <si>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</si>
  <si>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</si>
  <si>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</si>
  <si>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</si>
  <si>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</si>
  <si>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</si>
  <si>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</si>
  <si>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</si>
  <si>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</si>
  <si>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</si>
  <si>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</si>
  <si>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</si>
  <si>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</si>
  <si>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</si>
  <si>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</si>
  <si>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</si>
  <si>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</si>
  <si>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</si>
  <si>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</si>
  <si>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</si>
  <si>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</si>
  <si>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</si>
  <si>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</si>
  <si>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</si>
  <si>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</si>
  <si>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</si>
  <si>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</si>
  <si>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</si>
  <si>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</si>
  <si>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</si>
  <si>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</si>
  <si>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</si>
  <si>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</si>
  <si>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</si>
  <si>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</si>
  <si>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</si>
  <si>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</si>
  <si>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</si>
  <si>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</si>
  <si>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</si>
  <si>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</si>
  <si>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</si>
  <si>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</si>
  <si>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</si>
  <si>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</si>
  <si>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</si>
  <si>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</si>
  <si>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</si>
  <si>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</si>
  <si>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</si>
  <si>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</si>
  <si>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</si>
  <si>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</si>
  <si>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</si>
  <si>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</si>
  <si>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</si>
  <si>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</si>
  <si>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</si>
  <si>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</si>
  <si>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</si>
  <si>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</si>
  <si>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</si>
  <si>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</si>
  <si>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</si>
  <si>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</si>
  <si>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</si>
  <si>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</si>
  <si>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</si>
  <si>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</si>
  <si>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</si>
  <si>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</si>
  <si>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</si>
  <si>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</si>
  <si>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</si>
  <si>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</si>
  <si>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</si>
  <si>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</si>
  <si>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</si>
  <si>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</si>
  <si>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</si>
  <si>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</si>
  <si>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</si>
  <si>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</si>
  <si>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</si>
  <si>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</si>
  <si>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</si>
  <si>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</si>
  <si>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</si>
  <si>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</si>
  <si>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</si>
  <si>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</si>
  <si>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</si>
  <si>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</si>
  <si>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</si>
  <si>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</si>
  <si>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</si>
  <si>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</si>
  <si>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</si>
  <si>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</si>
  <si>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</si>
  <si>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</si>
  <si>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</si>
  <si>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</si>
  <si>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</si>
  <si>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</si>
  <si>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</si>
  <si>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</si>
  <si>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</si>
  <si>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</si>
  <si>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</si>
  <si>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</si>
  <si>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</si>
  <si>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</si>
  <si>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</si>
  <si>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</si>
  <si>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</si>
  <si>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</si>
  <si>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</si>
  <si>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</si>
  <si>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</si>
  <si>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</si>
  <si>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</si>
  <si>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</si>
  <si>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</si>
  <si>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</si>
  <si>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</si>
  <si>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</si>
  <si>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</si>
  <si>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</si>
  <si>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</si>
  <si>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</si>
  <si>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</si>
  <si>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</si>
  <si>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</si>
  <si>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</si>
  <si>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</si>
  <si>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</si>
  <si>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</si>
  <si>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</si>
  <si>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</si>
  <si>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</si>
  <si>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</si>
  <si>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</si>
  <si>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</si>
  <si>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</si>
  <si>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</si>
  <si>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</si>
  <si>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</si>
  <si>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</si>
  <si>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</si>
  <si>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</si>
  <si>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</si>
  <si>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</si>
  <si>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</si>
  <si>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</si>
  <si>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</si>
  <si>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</si>
  <si>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</si>
  <si>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</si>
  <si>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</si>
  <si>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</si>
  <si>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</si>
  <si>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</si>
  <si>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</si>
  <si>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</si>
  <si>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</si>
  <si>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</si>
  <si>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</si>
  <si>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</si>
  <si>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</si>
  <si>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</si>
  <si>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</si>
  <si>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</si>
  <si>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</si>
  <si>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</si>
  <si>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</si>
  <si>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</si>
  <si>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</si>
  <si>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</si>
  <si>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</si>
  <si>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</si>
  <si>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</si>
  <si>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</si>
  <si>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</si>
  <si>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</si>
  <si>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</si>
  <si>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</si>
  <si>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</si>
  <si>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</si>
  <si>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</si>
  <si>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</si>
  <si>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</si>
  <si>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</si>
  <si>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</si>
  <si>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</si>
  <si>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</si>
  <si>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</si>
  <si>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</si>
  <si>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</si>
  <si>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</si>
  <si>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</si>
  <si>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</si>
  <si>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</si>
  <si>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</si>
  <si>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</si>
  <si>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</si>
  <si>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</si>
  <si>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</si>
  <si>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</si>
  <si>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</si>
  <si>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</si>
  <si>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</si>
  <si>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</si>
  <si>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</si>
  <si>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</si>
  <si>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</si>
  <si>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</si>
  <si>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</si>
  <si>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</si>
  <si>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</si>
  <si>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</si>
  <si>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</si>
  <si>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</si>
  <si>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</si>
  <si>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</si>
  <si>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</si>
  <si>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</si>
  <si>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</si>
  <si>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</si>
  <si>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</si>
  <si>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</si>
  <si>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</si>
  <si>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</si>
  <si>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</si>
  <si>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</si>
  <si>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</si>
  <si>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</si>
  <si>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</si>
  <si>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</si>
  <si>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</si>
  <si>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</si>
  <si>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</si>
  <si>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</si>
  <si>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</si>
  <si>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</si>
  <si>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</si>
  <si>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</si>
  <si>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</si>
  <si>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</si>
  <si>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</si>
  <si>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</si>
  <si>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</si>
  <si>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</si>
  <si>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</si>
  <si>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</si>
  <si>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</si>
  <si>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</si>
  <si>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</si>
  <si>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</si>
  <si>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</si>
  <si>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</si>
  <si>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</si>
  <si>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</si>
  <si>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</si>
  <si>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</si>
  <si>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</si>
  <si>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</si>
  <si>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</si>
  <si>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</si>
  <si>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</si>
  <si>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</si>
  <si>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</si>
  <si>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</si>
  <si>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</si>
  <si>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</si>
  <si>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</si>
  <si>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</si>
  <si>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</si>
  <si>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</si>
  <si>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</si>
  <si>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</si>
  <si>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</si>
  <si>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</si>
  <si>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</si>
  <si>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</si>
  <si>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</si>
  <si>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</si>
  <si>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</si>
  <si>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</si>
  <si>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</si>
  <si>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</si>
  <si>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</si>
  <si>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</si>
  <si>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</si>
  <si>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</si>
  <si>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</si>
  <si>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</si>
  <si>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</si>
  <si>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</si>
  <si>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</si>
  <si>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</si>
  <si>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</si>
  <si>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</si>
  <si>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</si>
  <si>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</si>
  <si>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</si>
  <si>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</si>
  <si>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</si>
  <si>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</si>
  <si>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</si>
  <si>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</si>
  <si>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</si>
  <si>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</si>
  <si>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</si>
  <si>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</si>
  <si>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</si>
  <si>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</si>
  <si>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</si>
  <si>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</si>
  <si>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</si>
  <si>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</si>
  <si>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</si>
  <si>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</si>
  <si>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</si>
  <si>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</si>
  <si>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</si>
  <si>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</si>
  <si>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</si>
  <si>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</si>
  <si>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</si>
  <si>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</si>
  <si>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</si>
  <si>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</si>
  <si>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</si>
  <si>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</si>
  <si>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</si>
  <si>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</si>
  <si>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</si>
  <si>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</si>
  <si>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</si>
  <si>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</si>
  <si>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</si>
  <si>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</si>
  <si>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</si>
  <si>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</si>
  <si>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</si>
  <si>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</si>
  <si>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</si>
  <si>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</si>
  <si>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</si>
  <si>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</si>
  <si>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</si>
  <si>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</si>
  <si>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</si>
  <si>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</si>
  <si>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</si>
  <si>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</si>
  <si>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</si>
  <si>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</si>
  <si>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</si>
  <si>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</si>
  <si>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</si>
  <si>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</si>
  <si>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</si>
  <si>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</si>
  <si>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</si>
  <si>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</si>
  <si>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</si>
  <si>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</si>
  <si>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</si>
  <si>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</si>
  <si>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</si>
  <si>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</si>
  <si>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</si>
  <si>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</si>
  <si>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</si>
  <si>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</si>
  <si>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</si>
  <si>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</si>
  <si>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</si>
  <si>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</si>
  <si>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</si>
  <si>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</si>
  <si>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</si>
  <si>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</si>
  <si>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</si>
  <si>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</si>
  <si>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</si>
  <si>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</si>
  <si>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</si>
  <si>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</si>
  <si>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</si>
  <si>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</si>
  <si>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</si>
  <si>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</si>
  <si>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</si>
  <si>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</si>
  <si>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</si>
  <si>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</si>
  <si>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</si>
  <si>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</si>
  <si>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</si>
  <si>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</si>
  <si>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</si>
  <si>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</si>
  <si>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</si>
  <si>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</si>
  <si>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</si>
  <si>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</si>
  <si>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</si>
  <si>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</si>
  <si>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</si>
  <si>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</si>
  <si>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</si>
  <si>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</si>
  <si>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</si>
  <si>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</si>
  <si>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</si>
  <si>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</si>
  <si>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</si>
  <si>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</si>
  <si>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</si>
  <si>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</si>
  <si>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</si>
  <si>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</si>
  <si>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</si>
  <si>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</si>
  <si>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</si>
  <si>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</si>
  <si>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</si>
  <si>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</si>
  <si>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</si>
  <si>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</si>
  <si>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</si>
  <si>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</si>
  <si>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</si>
  <si>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</si>
  <si>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</si>
  <si>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</si>
  <si>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</si>
  <si>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</si>
  <si>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</si>
  <si>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</si>
  <si>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</si>
  <si>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</si>
  <si>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</si>
  <si>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</si>
  <si>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</si>
  <si>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</si>
  <si>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</si>
  <si>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</si>
  <si>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</si>
  <si>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</si>
  <si>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</si>
  <si>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</si>
  <si>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</si>
  <si>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</si>
  <si>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</si>
  <si>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</si>
  <si>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</si>
  <si>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</si>
  <si>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</si>
  <si>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</si>
  <si>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</si>
  <si>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</si>
  <si>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</si>
  <si>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</si>
  <si>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</si>
  <si>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</si>
  <si>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</si>
  <si>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</si>
  <si>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</si>
  <si>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</si>
  <si>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</si>
  <si>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</si>
  <si>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</si>
  <si>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</si>
  <si>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</si>
  <si>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</si>
  <si>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</si>
  <si>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</si>
  <si>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</si>
  <si>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</si>
  <si>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</si>
  <si>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</si>
  <si>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</si>
  <si>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</si>
  <si>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</si>
  <si>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</si>
  <si>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</si>
  <si>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</si>
  <si>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</si>
  <si>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</si>
  <si>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</si>
  <si>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</si>
  <si>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</si>
  <si>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</si>
  <si>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</si>
  <si>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</si>
  <si>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</si>
  <si>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</si>
  <si>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</si>
  <si>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</si>
  <si>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</si>
  <si>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</si>
  <si>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</si>
  <si>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</si>
  <si>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</si>
  <si>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</si>
  <si>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</si>
  <si>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</si>
  <si>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</si>
  <si>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</si>
  <si>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</si>
  <si>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</si>
  <si>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</si>
  <si>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</si>
  <si>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</si>
  <si>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</si>
  <si>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</si>
  <si>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</si>
  <si>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</si>
  <si>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</si>
  <si>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</si>
  <si>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</si>
  <si>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</si>
  <si>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</si>
  <si>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</si>
  <si>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</si>
  <si>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</si>
  <si>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</si>
  <si>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</si>
  <si>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</si>
  <si>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</si>
  <si>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</si>
  <si>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</si>
  <si>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</si>
  <si>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</si>
  <si>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</si>
  <si>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</si>
  <si>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</si>
  <si>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</si>
  <si>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</si>
  <si>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</si>
  <si>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</si>
  <si>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</si>
  <si>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</si>
  <si>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</si>
  <si>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</si>
  <si>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</si>
  <si>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</si>
  <si>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</si>
  <si>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</si>
  <si>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</si>
  <si>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</si>
  <si>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</si>
  <si>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</si>
  <si>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</si>
  <si>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</si>
  <si>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</si>
  <si>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</si>
  <si>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</si>
  <si>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</si>
  <si>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</si>
  <si>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</si>
  <si>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</si>
  <si>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</si>
  <si>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</si>
  <si>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</si>
  <si>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</si>
  <si>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</si>
  <si>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</si>
  <si>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</si>
  <si>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</si>
  <si>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</si>
  <si>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</si>
  <si>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</si>
  <si>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</si>
  <si>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</si>
  <si>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</si>
  <si>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</si>
  <si>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</si>
  <si>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</si>
  <si>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</si>
  <si>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</si>
  <si>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</si>
  <si>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</si>
  <si>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</si>
  <si>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</si>
  <si>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</si>
  <si>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</si>
  <si>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</si>
  <si>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</si>
  <si>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</si>
  <si>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</si>
  <si>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</si>
  <si>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</si>
  <si>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</si>
  <si>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</si>
  <si>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</si>
  <si>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</si>
  <si>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</si>
  <si>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</si>
  <si>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</si>
  <si>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</si>
  <si>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</si>
  <si>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</si>
  <si>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</si>
  <si>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</si>
  <si>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</si>
  <si>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</si>
  <si>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</si>
  <si>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</si>
  <si>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</si>
  <si>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</si>
  <si>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</si>
  <si>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</si>
  <si>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</si>
  <si>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</si>
  <si>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</si>
  <si>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</si>
  <si>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</si>
  <si>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</si>
  <si>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</si>
  <si>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</si>
  <si>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</si>
  <si>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</si>
  <si>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</si>
  <si>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</si>
  <si>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</si>
  <si>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</si>
  <si>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</si>
  <si>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</si>
  <si>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</si>
  <si>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</si>
  <si>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</si>
  <si>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</si>
  <si>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</si>
  <si>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</si>
  <si>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</si>
  <si>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</si>
  <si>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</si>
  <si>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</si>
  <si>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</si>
  <si>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</si>
  <si>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</si>
  <si>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</si>
  <si>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</si>
  <si>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</si>
  <si>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</si>
  <si>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</si>
  <si>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</si>
  <si>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</si>
  <si>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</si>
  <si>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</si>
  <si>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</si>
  <si>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</si>
  <si>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</si>
  <si>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</si>
  <si>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</si>
  <si>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</si>
  <si>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</si>
  <si>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</si>
  <si>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</si>
  <si>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</si>
  <si>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</si>
  <si>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</si>
  <si>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</si>
  <si>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</si>
  <si>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</si>
  <si>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</si>
  <si>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</si>
  <si>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</si>
  <si>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</si>
  <si>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</si>
  <si>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</si>
  <si>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</si>
  <si>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</si>
  <si>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</si>
  <si>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</si>
  <si>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</si>
  <si>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</si>
  <si>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</si>
  <si>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</si>
  <si>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</si>
  <si>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</si>
  <si>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</si>
  <si>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</si>
  <si>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</si>
  <si>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</si>
  <si>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</si>
  <si>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</si>
  <si>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</si>
  <si>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</si>
  <si>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</si>
  <si>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</si>
  <si>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</si>
  <si>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</si>
  <si>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</si>
  <si>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</si>
  <si>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</si>
  <si>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</si>
  <si>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</si>
  <si>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</si>
  <si>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</si>
  <si>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</si>
  <si>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</si>
  <si>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</si>
  <si>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</si>
  <si>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</si>
  <si>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</si>
  <si>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</si>
  <si>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</si>
  <si>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</si>
  <si>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</si>
  <si>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</si>
  <si>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</si>
  <si>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</si>
  <si>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</si>
  <si>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</si>
  <si>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</si>
  <si>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</si>
  <si>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</si>
  <si>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</si>
  <si>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</si>
  <si>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</si>
  <si>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</si>
  <si>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</si>
  <si>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</si>
  <si>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</si>
  <si>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</si>
  <si>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</si>
  <si>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</si>
  <si>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</si>
  <si>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</si>
  <si>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</si>
  <si>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</si>
  <si>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</si>
  <si>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</si>
  <si>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</si>
  <si>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</si>
  <si>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</si>
  <si>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</si>
  <si>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</si>
  <si>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</si>
  <si>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</si>
  <si>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</si>
  <si>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</si>
  <si>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</si>
  <si>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</si>
  <si>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</si>
  <si>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</si>
  <si>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</si>
  <si>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</si>
  <si>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</si>
  <si>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</si>
  <si>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</si>
  <si>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</si>
  <si>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</si>
  <si>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</si>
  <si>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</si>
  <si>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</si>
  <si>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</si>
  <si>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</si>
  <si>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</si>
  <si>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</si>
  <si>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</si>
  <si>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</si>
  <si>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</si>
  <si>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</si>
  <si>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</si>
  <si>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</si>
  <si>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</si>
  <si>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</si>
  <si>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</si>
  <si>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</si>
  <si>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</si>
  <si>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</si>
  <si>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</si>
  <si>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</si>
  <si>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</si>
  <si>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</si>
  <si>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</si>
  <si>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</si>
  <si>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</si>
  <si>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</si>
  <si>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</si>
  <si>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</si>
  <si>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</si>
  <si>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</si>
  <si>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</si>
  <si>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</si>
  <si>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</si>
  <si>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</si>
  <si>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</si>
  <si>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</si>
  <si>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</si>
  <si>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</si>
  <si>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</si>
  <si>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</si>
  <si>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</si>
  <si>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</si>
  <si>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</si>
  <si>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</si>
  <si>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</si>
  <si>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</si>
  <si>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</si>
  <si>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</si>
  <si>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</si>
  <si>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</si>
  <si>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</si>
  <si>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</si>
  <si>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</si>
  <si>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</si>
  <si>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</si>
  <si>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</si>
  <si>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</si>
  <si>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</si>
  <si>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</si>
  <si>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</si>
  <si>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</si>
  <si>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</si>
  <si>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</si>
  <si>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</si>
  <si>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</si>
  <si>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</si>
  <si>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</si>
  <si>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</si>
  <si>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</si>
  <si>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</si>
  <si>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</si>
  <si>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</si>
  <si>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</si>
  <si>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</si>
  <si>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</si>
  <si>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</si>
  <si>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</si>
  <si>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</si>
  <si>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</si>
  <si>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</si>
  <si>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</si>
  <si>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</si>
  <si>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</si>
  <si>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</si>
  <si>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</si>
  <si>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</si>
  <si>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</si>
  <si>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</si>
  <si>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</si>
  <si>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</si>
  <si>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</si>
  <si>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</si>
  <si>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</si>
  <si>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</si>
  <si>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</si>
  <si>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</si>
  <si>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</si>
  <si>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</si>
  <si>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</si>
  <si>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</si>
  <si>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</si>
  <si>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</si>
  <si>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</si>
  <si>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</si>
  <si>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</si>
  <si>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</si>
  <si>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</si>
  <si>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</si>
  <si>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</si>
  <si>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</si>
  <si>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</si>
  <si>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</si>
  <si>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</si>
  <si>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</si>
  <si>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</si>
  <si>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</si>
  <si>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</si>
  <si>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</si>
  <si>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</si>
  <si>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</si>
  <si>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</si>
  <si>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</si>
  <si>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</si>
  <si>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</si>
  <si>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</si>
  <si>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</si>
  <si>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</si>
  <si>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</si>
  <si>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</si>
  <si>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</si>
  <si>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</si>
  <si>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</si>
  <si>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</si>
  <si>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</si>
  <si>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</si>
  <si>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</si>
  <si>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</si>
  <si>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</si>
  <si>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</si>
  <si>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</si>
  <si>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</si>
  <si>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</si>
  <si>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</si>
  <si>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</si>
  <si>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</si>
  <si>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</si>
  <si>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</si>
  <si>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</si>
  <si>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</si>
  <si>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</si>
  <si>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</si>
  <si>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</si>
  <si>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</si>
  <si>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</si>
  <si>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</si>
  <si>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</si>
  <si>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</si>
  <si>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</si>
  <si>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</si>
  <si>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</si>
  <si>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</si>
  <si>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</si>
  <si>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</si>
  <si>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</si>
  <si>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</si>
  <si>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</si>
  <si>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</si>
  <si>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</si>
  <si>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</si>
  <si>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</si>
  <si>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</si>
  <si>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</si>
  <si>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</si>
  <si>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</si>
  <si>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</si>
  <si>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</si>
  <si>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</si>
  <si>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</si>
  <si>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</si>
  <si>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</si>
  <si>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</si>
  <si>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</si>
  <si>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</si>
  <si>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</si>
  <si>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</si>
  <si>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</si>
  <si>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</si>
  <si>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</si>
  <si>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</si>
  <si>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</si>
  <si>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</si>
  <si>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</si>
  <si>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</si>
  <si>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</si>
  <si>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</si>
  <si>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</si>
  <si>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</si>
  <si>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</si>
  <si>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</si>
  <si>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</si>
  <si>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</si>
  <si>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</si>
  <si>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</si>
  <si>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</si>
  <si>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</si>
  <si>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</si>
  <si>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</si>
  <si>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</si>
  <si>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</si>
  <si>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</si>
  <si>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</si>
  <si>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</si>
  <si>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</si>
  <si>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</si>
  <si>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</si>
  <si>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</si>
  <si>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</si>
  <si>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</si>
  <si>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</si>
  <si>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</si>
  <si>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</si>
  <si>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</si>
  <si>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</si>
  <si>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</si>
  <si>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</si>
  <si>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</si>
  <si>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</si>
  <si>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</si>
  <si>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</si>
  <si>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</si>
  <si>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</si>
  <si>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</si>
  <si>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</si>
  <si>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</si>
  <si>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</si>
  <si>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</si>
  <si>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</si>
  <si>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</si>
  <si>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</si>
  <si>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</si>
  <si>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</si>
  <si>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</si>
  <si>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</si>
  <si>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</si>
  <si>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</si>
  <si>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</si>
  <si>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</si>
  <si>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</si>
  <si>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</si>
  <si>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</si>
  <si>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</si>
  <si>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</si>
  <si>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</si>
  <si>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</si>
  <si>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</si>
  <si>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</si>
  <si>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</si>
  <si>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</si>
  <si>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</si>
  <si>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</si>
  <si>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</si>
  <si>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</si>
  <si>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</si>
  <si>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</si>
  <si>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</si>
  <si>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</si>
  <si>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</si>
  <si>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</si>
  <si>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</si>
  <si>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</si>
  <si>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</si>
  <si>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</si>
  <si>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</si>
  <si>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</si>
  <si>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</si>
  <si>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</si>
  <si>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</si>
  <si>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</si>
  <si>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</si>
  <si>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</si>
  <si>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</si>
  <si>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</si>
  <si>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</si>
  <si>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</si>
  <si>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</si>
  <si>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</si>
  <si>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</si>
  <si>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</si>
  <si>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</si>
  <si>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</si>
  <si>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</si>
  <si>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</si>
  <si>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</si>
  <si>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</si>
  <si>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</si>
  <si>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</si>
  <si>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</si>
  <si>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</si>
  <si>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</si>
  <si>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</si>
  <si>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</si>
  <si>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</si>
  <si>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</si>
  <si>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</si>
  <si>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</si>
  <si>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</si>
  <si>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</si>
  <si>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</si>
  <si>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</si>
  <si>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</si>
  <si>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</si>
  <si>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</si>
  <si>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</si>
  <si>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</si>
  <si>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</si>
  <si>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</si>
  <si>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</si>
  <si>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</si>
  <si>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</si>
  <si>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</si>
  <si>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</si>
  <si>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</si>
  <si>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</si>
  <si>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</si>
  <si>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</si>
  <si>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</si>
  <si>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</si>
  <si>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</si>
  <si>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</si>
  <si>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</si>
  <si>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</si>
  <si>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</si>
  <si>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</si>
  <si>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</si>
  <si>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</si>
  <si>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</si>
  <si>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</si>
  <si>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</si>
  <si>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</si>
  <si>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</si>
  <si>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</si>
  <si>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</si>
  <si>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</si>
  <si>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</si>
  <si>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</si>
  <si>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</si>
  <si>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</si>
  <si>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</si>
  <si>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</si>
  <si>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</si>
  <si>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</si>
  <si>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</si>
  <si>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</si>
  <si>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</si>
  <si>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</si>
  <si>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</si>
  <si>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</si>
  <si>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</si>
  <si>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</si>
  <si>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</si>
  <si>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</si>
  <si>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</si>
  <si>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</si>
  <si>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</si>
  <si>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</si>
  <si>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</si>
  <si>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</si>
  <si>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</si>
  <si>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</si>
  <si>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</si>
  <si>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</si>
  <si>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</si>
  <si>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</si>
  <si>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</si>
  <si>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</si>
  <si>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</si>
  <si>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</si>
  <si>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</si>
  <si>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</si>
  <si>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</si>
  <si>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</si>
  <si>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</si>
  <si>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</si>
  <si>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</si>
  <si>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</si>
  <si>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</si>
  <si>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</si>
  <si>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</si>
  <si>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</si>
  <si>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</si>
  <si>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</si>
  <si>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</si>
  <si>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</si>
  <si>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</si>
  <si>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</si>
  <si>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</si>
  <si>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</si>
  <si>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</si>
  <si>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</si>
  <si>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</si>
  <si>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</si>
  <si>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</si>
  <si>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</si>
  <si>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</si>
  <si>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</si>
  <si>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</si>
  <si>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</si>
  <si>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</si>
  <si>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</si>
  <si>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</si>
  <si>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</si>
  <si>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</si>
  <si>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</si>
  <si>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</si>
  <si>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</si>
  <si>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</si>
  <si>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</si>
  <si>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</si>
  <si>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</si>
  <si>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</si>
  <si>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</si>
  <si>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</si>
  <si>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</si>
  <si>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</si>
  <si>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</si>
  <si>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</si>
  <si>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</si>
  <si>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</si>
  <si>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</si>
  <si>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</si>
  <si>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</si>
  <si>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</si>
  <si>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</si>
  <si>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</si>
  <si>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</si>
  <si>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</si>
  <si>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</si>
  <si>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</si>
  <si>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</si>
  <si>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</si>
  <si>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</si>
  <si>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</si>
  <si>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</si>
  <si>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</si>
  <si>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</si>
  <si>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</si>
  <si>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</si>
  <si>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</si>
  <si>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</si>
  <si>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</si>
  <si>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</si>
  <si>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</si>
  <si>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</si>
  <si>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</si>
  <si>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</si>
  <si>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</si>
  <si>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</si>
  <si>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</si>
  <si>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</si>
  <si>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</si>
  <si>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</si>
  <si>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</si>
  <si>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</si>
  <si>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</si>
  <si>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</si>
  <si>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</si>
  <si>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</si>
  <si>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</si>
  <si>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</si>
  <si>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</si>
  <si>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</si>
  <si>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</si>
  <si>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</si>
  <si>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</si>
  <si>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</si>
  <si>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</si>
  <si>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</si>
  <si>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</si>
  <si>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</si>
  <si>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</si>
  <si>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</si>
  <si>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</si>
  <si>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</si>
  <si>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</si>
  <si>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</si>
  <si>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</si>
  <si>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</si>
  <si>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</si>
  <si>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</si>
  <si>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</si>
  <si>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</si>
  <si>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</si>
  <si>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</si>
  <si>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</si>
  <si>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</si>
  <si>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</si>
  <si>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</si>
  <si>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</si>
  <si>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</si>
  <si>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</si>
  <si>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</si>
  <si>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</si>
  <si>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</si>
  <si>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</si>
  <si>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</si>
  <si>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</si>
  <si>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</si>
  <si>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</si>
  <si>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</si>
  <si>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</si>
  <si>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</si>
  <si>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</si>
  <si>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</si>
  <si>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</si>
  <si>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</si>
  <si>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</si>
  <si>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</si>
  <si>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</si>
  <si>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</si>
  <si>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</si>
  <si>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</si>
  <si>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</si>
  <si>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</si>
  <si>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</si>
  <si>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</si>
  <si>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</si>
  <si>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</si>
  <si>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</si>
  <si>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</si>
  <si>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</si>
  <si>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</si>
  <si>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</si>
  <si>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</si>
  <si>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</si>
  <si>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</si>
  <si>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</si>
  <si>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</si>
  <si>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</si>
  <si>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</si>
  <si>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</si>
  <si>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</si>
  <si>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</si>
  <si>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</si>
  <si>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</si>
  <si>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</si>
  <si>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</si>
  <si>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</si>
  <si>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</si>
  <si>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</si>
  <si>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</si>
  <si>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</si>
  <si>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</si>
  <si>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</si>
  <si>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</si>
  <si>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</si>
  <si>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</si>
  <si>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</si>
  <si>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</si>
  <si>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</si>
  <si>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</si>
  <si>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</si>
  <si>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</si>
  <si>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</si>
  <si>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</si>
  <si>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</si>
  <si>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</si>
  <si>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</si>
  <si>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</si>
  <si>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</si>
  <si>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</si>
  <si>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</si>
  <si>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</si>
  <si>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</si>
  <si>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</si>
  <si>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</si>
  <si>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</si>
  <si>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</si>
  <si>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</si>
  <si>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</si>
  <si>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</si>
  <si>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</si>
  <si>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</si>
  <si>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</si>
  <si>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</si>
  <si>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</si>
  <si>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</si>
  <si>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</si>
  <si>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</si>
  <si>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</si>
  <si>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</si>
  <si>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</si>
  <si>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</si>
  <si>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</si>
  <si>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</si>
  <si>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</si>
  <si>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</si>
  <si>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</si>
  <si>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</si>
  <si>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</si>
  <si>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</si>
  <si>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</si>
  <si>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</si>
  <si>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</si>
  <si>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</si>
  <si>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</si>
  <si>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</si>
  <si>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</si>
  <si>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</si>
  <si>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</si>
  <si>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</si>
  <si>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</si>
  <si>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</si>
  <si>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</si>
  <si>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</si>
  <si>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</si>
  <si>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</si>
  <si>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</si>
  <si>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</si>
  <si>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</si>
  <si>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</si>
  <si>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</si>
  <si>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</si>
  <si>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</si>
  <si>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</si>
  <si>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</si>
  <si>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</si>
  <si>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</si>
  <si>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</si>
  <si>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</si>
  <si>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</si>
  <si>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</si>
  <si>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</si>
  <si>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</si>
  <si>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</si>
  <si>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</si>
  <si>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</si>
  <si>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</si>
  <si>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</si>
  <si>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</si>
  <si>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</si>
  <si>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</si>
  <si>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</si>
  <si>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</si>
  <si>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</si>
  <si>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</si>
  <si>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</si>
  <si>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</si>
  <si>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</si>
  <si>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</si>
  <si>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</si>
  <si>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</si>
  <si>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</si>
  <si>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</si>
  <si>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</si>
  <si>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</si>
  <si>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</si>
  <si>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</si>
  <si>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</si>
  <si>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</si>
  <si>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</si>
  <si>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</si>
  <si>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</si>
  <si>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</si>
  <si>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</si>
  <si>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</si>
  <si>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</si>
  <si>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</si>
  <si>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</si>
  <si>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</si>
  <si>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</si>
  <si>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</si>
  <si>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</si>
  <si>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</si>
  <si>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</si>
  <si>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</si>
  <si>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</si>
  <si>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</si>
  <si>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</si>
  <si>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</si>
  <si>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</si>
  <si>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</si>
  <si>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</si>
  <si>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</si>
  <si>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</si>
  <si>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</si>
  <si>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</si>
  <si>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</si>
  <si>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</si>
  <si>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</si>
  <si>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</si>
  <si>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</si>
  <si>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</si>
  <si>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</si>
  <si>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</si>
  <si>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</si>
  <si>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</si>
  <si>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</si>
  <si>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</si>
  <si>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</si>
  <si>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</si>
  <si>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</si>
  <si>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</si>
  <si>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</si>
  <si>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</si>
  <si>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</si>
  <si>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</si>
  <si>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</si>
  <si>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</si>
  <si>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</si>
  <si>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</si>
  <si>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</si>
  <si>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</si>
  <si>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</si>
  <si>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</si>
  <si>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</si>
  <si>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</si>
  <si>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</si>
  <si>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</si>
  <si>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</si>
  <si>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</si>
  <si>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</si>
  <si>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</si>
  <si>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</si>
  <si>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</si>
  <si>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</si>
  <si>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</si>
  <si>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</si>
  <si>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</si>
  <si>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</si>
  <si>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</si>
  <si>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</si>
  <si>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</si>
  <si>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</si>
  <si>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</si>
  <si>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</si>
  <si>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</si>
  <si>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</si>
  <si>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</si>
  <si>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</si>
  <si>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</si>
  <si>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</si>
  <si>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</si>
  <si>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</si>
  <si>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</si>
  <si>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</si>
  <si>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</si>
  <si>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</si>
  <si>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</si>
  <si>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</si>
  <si>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</si>
  <si>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</si>
  <si>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</si>
  <si>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</si>
  <si>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</si>
  <si>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</si>
  <si>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</si>
  <si>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</si>
  <si>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</si>
  <si>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</si>
  <si>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</si>
  <si>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</si>
  <si>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</si>
  <si>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</si>
  <si>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</si>
  <si>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</si>
  <si>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</si>
  <si>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</si>
  <si>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</si>
  <si>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</si>
  <si>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</si>
  <si>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</si>
  <si>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</si>
  <si>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</si>
  <si>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</si>
  <si>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</si>
  <si>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</si>
  <si>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</si>
  <si>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</si>
  <si>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</si>
  <si>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</si>
  <si>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</si>
  <si>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</si>
  <si>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</si>
  <si>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</si>
  <si>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</si>
  <si>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</si>
  <si>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</si>
  <si>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</si>
  <si>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</si>
  <si>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</si>
  <si>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</si>
  <si>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</si>
  <si>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</si>
  <si>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</si>
  <si>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</si>
  <si>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</si>
  <si>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</si>
  <si>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</si>
  <si>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</si>
  <si>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</si>
  <si>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</si>
  <si>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</si>
  <si>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</si>
  <si>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</si>
  <si>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</si>
  <si>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</si>
  <si>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</si>
  <si>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</si>
  <si>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</si>
  <si>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</si>
  <si>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</si>
  <si>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</si>
  <si>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</si>
  <si>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</si>
  <si>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</si>
  <si>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</si>
  <si>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</si>
  <si>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</si>
  <si>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</si>
  <si>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</si>
  <si>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</si>
  <si>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</si>
  <si>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</si>
  <si>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</si>
  <si>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</si>
  <si>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</si>
  <si>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</si>
  <si>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</si>
  <si>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</si>
  <si>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</si>
  <si>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</si>
  <si>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</si>
  <si>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</si>
  <si>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</si>
  <si>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</si>
  <si>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</si>
  <si>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</si>
  <si>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</si>
  <si>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</si>
  <si>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</si>
  <si>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</si>
  <si>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</si>
  <si>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</si>
  <si>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</si>
  <si>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</si>
  <si>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</si>
  <si>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</si>
  <si>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</si>
  <si>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</si>
  <si>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</si>
  <si>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</si>
  <si>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</si>
  <si>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</si>
  <si>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</si>
  <si>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</si>
  <si>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</si>
  <si>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</si>
  <si>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</si>
  <si>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</si>
  <si>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</si>
  <si>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</si>
  <si>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</si>
  <si>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</si>
  <si>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</si>
  <si>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</si>
  <si>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</si>
  <si>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</si>
  <si>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</si>
  <si>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</si>
  <si>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</si>
  <si>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</si>
  <si>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</si>
  <si>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</si>
  <si>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</si>
  <si>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</si>
  <si>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</si>
  <si>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</si>
  <si>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</si>
  <si>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</si>
  <si>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</si>
  <si>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</si>
  <si>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</si>
  <si>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</si>
  <si>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</si>
  <si>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</si>
  <si>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</si>
  <si>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</si>
  <si>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</si>
  <si>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</si>
  <si>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</si>
  <si>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</si>
  <si>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</si>
  <si>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</si>
  <si>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</si>
  <si>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</si>
  <si>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</si>
  <si>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</si>
  <si>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</si>
  <si>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</si>
  <si>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</si>
  <si>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</si>
  <si>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</si>
  <si>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</si>
  <si>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</si>
  <si>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</si>
  <si>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</si>
  <si>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</si>
  <si>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</si>
  <si>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</si>
  <si>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</si>
  <si>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</si>
  <si>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</si>
  <si>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</si>
  <si>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</si>
  <si>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</si>
  <si>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</si>
  <si>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</si>
  <si>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</si>
  <si>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</si>
  <si>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</si>
  <si>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</si>
  <si>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</si>
  <si>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</si>
  <si>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</si>
  <si>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</si>
  <si>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</si>
  <si>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</si>
  <si>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</si>
  <si>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</si>
  <si>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</si>
  <si>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</si>
  <si>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</si>
  <si>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</si>
  <si>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</si>
  <si>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</si>
  <si>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</si>
  <si>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</si>
  <si>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</si>
  <si>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</si>
  <si>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</si>
  <si>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</si>
  <si>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</si>
  <si>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</si>
  <si>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</si>
  <si>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</si>
  <si>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</si>
  <si>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</si>
  <si>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</si>
  <si>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</si>
  <si>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</si>
  <si>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</si>
  <si>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</si>
  <si>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</si>
  <si>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</si>
  <si>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</si>
  <si>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</si>
  <si>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</si>
  <si>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</si>
  <si>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</si>
  <si>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</si>
  <si>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</si>
  <si>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</si>
  <si>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</si>
  <si>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</si>
  <si>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</si>
  <si>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</si>
  <si>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</si>
  <si>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</si>
  <si>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</si>
  <si>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</si>
  <si>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</si>
  <si>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</si>
  <si>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</si>
  <si>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</si>
  <si>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</si>
  <si>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</si>
  <si>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</si>
  <si>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</si>
  <si>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</si>
  <si>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</si>
  <si>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</si>
  <si>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</si>
  <si>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</si>
  <si>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</si>
  <si>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</si>
  <si>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</si>
  <si>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</si>
  <si>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</si>
  <si>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</si>
  <si>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</si>
  <si>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</si>
  <si>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</si>
  <si>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</si>
  <si>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</si>
  <si>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</si>
  <si>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</si>
  <si>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</si>
  <si>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</si>
  <si>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</si>
  <si>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</si>
  <si>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</si>
  <si>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</si>
  <si>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</si>
  <si>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</si>
  <si>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</si>
  <si>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</si>
  <si>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</si>
  <si>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</si>
  <si>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</si>
  <si>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</si>
  <si>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</si>
  <si>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</si>
  <si>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</si>
  <si>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</si>
  <si>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</si>
  <si>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</si>
  <si>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</si>
  <si>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</si>
  <si>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</si>
  <si>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</si>
  <si>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</si>
  <si>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</si>
  <si>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</si>
  <si>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</si>
  <si>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</si>
  <si>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</si>
  <si>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</si>
  <si>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</si>
  <si>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</si>
  <si>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</si>
  <si>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</si>
  <si>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</si>
  <si>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</si>
  <si>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</si>
  <si>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</si>
  <si>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</si>
  <si>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</si>
  <si>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</si>
  <si>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</si>
  <si>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</si>
  <si>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</si>
  <si>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</si>
  <si>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</si>
  <si>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</si>
  <si>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</si>
  <si>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</si>
  <si>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</si>
  <si>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</si>
  <si>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</si>
  <si>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</si>
  <si>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</si>
  <si>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</si>
  <si>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</si>
  <si>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</si>
  <si>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</si>
  <si>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</si>
  <si>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</si>
  <si>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</si>
  <si>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</si>
  <si>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</si>
  <si>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</si>
  <si>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</si>
  <si>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</si>
  <si>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</si>
  <si>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</si>
  <si>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</si>
  <si>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</si>
  <si>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</si>
  <si>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</si>
  <si>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</si>
  <si>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</si>
  <si>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</si>
  <si>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</si>
  <si>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</si>
  <si>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</si>
  <si>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</si>
  <si>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</si>
  <si>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</si>
  <si>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</si>
  <si>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</si>
  <si>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</si>
  <si>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</si>
  <si>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</si>
  <si>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</si>
  <si>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</si>
  <si>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</si>
  <si>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</si>
  <si>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</si>
  <si>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</si>
  <si>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</si>
  <si>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</si>
  <si>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</si>
  <si>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</si>
  <si>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</si>
  <si>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</si>
  <si>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</si>
  <si>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</si>
  <si>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</si>
  <si>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</si>
  <si>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</si>
  <si>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</si>
  <si>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</si>
  <si>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</si>
  <si>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</si>
  <si>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</si>
  <si>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</si>
  <si>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</si>
  <si>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</si>
  <si>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</si>
  <si>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</si>
  <si>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</si>
  <si>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</si>
  <si>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</si>
  <si>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</si>
  <si>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</si>
  <si>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</si>
  <si>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</si>
  <si>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</si>
  <si>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</si>
  <si>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</si>
  <si>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</si>
  <si>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</si>
  <si>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</si>
  <si>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</si>
  <si>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</si>
  <si>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</si>
  <si>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</si>
  <si>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</si>
  <si>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</si>
  <si>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</si>
  <si>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</si>
  <si>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</si>
  <si>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</si>
  <si>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</si>
  <si>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</si>
  <si>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</si>
  <si>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</si>
  <si>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</si>
  <si>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</si>
  <si>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</si>
  <si>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</si>
  <si>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</si>
  <si>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</si>
  <si>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</si>
  <si>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</si>
  <si>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</si>
  <si>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</si>
  <si>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</si>
  <si>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</si>
  <si>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</si>
  <si>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</si>
  <si>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</si>
  <si>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</si>
  <si>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</si>
  <si>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</si>
  <si>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</si>
  <si>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</si>
  <si>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</si>
  <si>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</si>
  <si>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</si>
  <si>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</si>
  <si>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</si>
  <si>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</si>
  <si>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</si>
  <si>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</si>
  <si>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</si>
  <si>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</si>
  <si>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</si>
  <si>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</si>
  <si>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</si>
  <si>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</si>
  <si>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</si>
  <si>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</si>
  <si>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</si>
  <si>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</si>
  <si>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</si>
  <si>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</si>
  <si>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</si>
  <si>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</si>
  <si>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</si>
  <si>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</si>
  <si>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</si>
  <si>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</si>
  <si>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</si>
  <si>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</si>
  <si>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</si>
  <si>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</si>
  <si>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</si>
  <si>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</si>
  <si>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</si>
  <si>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</si>
  <si>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</si>
  <si>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</si>
  <si>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</si>
  <si>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</si>
  <si>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</si>
  <si>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</si>
  <si>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</si>
  <si>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</si>
  <si>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</si>
  <si>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</si>
  <si>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</si>
  <si>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</si>
  <si>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</si>
  <si>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</si>
  <si>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</si>
  <si>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</si>
  <si>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</si>
  <si>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</si>
  <si>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</si>
  <si>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</si>
  <si>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</si>
  <si>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</si>
  <si>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</si>
  <si>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</si>
  <si>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</si>
  <si>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</si>
  <si>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</si>
  <si>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</si>
  <si>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</si>
  <si>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</si>
  <si>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</si>
  <si>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</si>
  <si>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</si>
  <si>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</si>
  <si>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</si>
  <si>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</si>
  <si>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</si>
  <si>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</si>
  <si>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</si>
  <si>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</si>
  <si>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</si>
  <si>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</si>
  <si>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</si>
  <si>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</si>
  <si>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</si>
  <si>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</si>
  <si>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</si>
  <si>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</si>
  <si>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</si>
  <si>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</si>
  <si>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</si>
  <si>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</si>
  <si>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</si>
  <si>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</si>
  <si>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</si>
  <si>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</si>
  <si>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</si>
  <si>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</si>
  <si>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</si>
  <si>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</si>
  <si>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</si>
  <si>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</si>
  <si>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</si>
  <si>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</si>
  <si>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</si>
  <si>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</si>
  <si>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</si>
  <si>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</si>
  <si>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</si>
  <si>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</si>
  <si>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</si>
  <si>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</si>
  <si>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</si>
  <si>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</si>
  <si>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</si>
  <si>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</si>
  <si>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</si>
  <si>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</si>
  <si>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</si>
  <si>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</si>
  <si>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</si>
  <si>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</si>
  <si>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</si>
  <si>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</si>
  <si>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</si>
  <si>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</si>
  <si>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</si>
  <si>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</si>
  <si>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</si>
  <si>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</si>
  <si>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</si>
  <si>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</si>
  <si>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</si>
  <si>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</si>
  <si>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</si>
  <si>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</si>
  <si>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</si>
  <si>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</si>
  <si>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</si>
  <si>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</si>
  <si>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</si>
  <si>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</si>
  <si>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</si>
  <si>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</si>
  <si>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</si>
  <si>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</si>
  <si>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</si>
  <si>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</si>
  <si>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</si>
  <si>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</si>
  <si>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</si>
  <si>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</si>
  <si>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</si>
  <si>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</si>
  <si>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</si>
  <si>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</si>
  <si>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</si>
  <si>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</si>
  <si>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</si>
  <si>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</si>
  <si>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</si>
  <si>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</si>
  <si>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</si>
  <si>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</si>
  <si>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</si>
  <si>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</si>
  <si>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</si>
  <si>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</si>
  <si>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</si>
  <si>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</si>
  <si>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</si>
  <si>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</si>
  <si>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</si>
  <si>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</si>
  <si>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</si>
  <si>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</si>
  <si>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</si>
  <si>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</si>
  <si>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</si>
  <si>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</si>
  <si>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</si>
  <si>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</si>
  <si>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</si>
  <si>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</si>
  <si>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</si>
  <si>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</si>
  <si>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</si>
  <si>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</si>
  <si>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</si>
  <si>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</si>
  <si>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</si>
  <si>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</si>
  <si>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</si>
  <si>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</si>
  <si>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</si>
  <si>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</si>
  <si>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</si>
  <si>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</si>
  <si>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</si>
  <si>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</si>
  <si>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</si>
  <si>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</si>
  <si>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</si>
  <si>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</si>
  <si>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</si>
  <si>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</si>
  <si>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</si>
  <si>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</si>
  <si>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</si>
  <si>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</si>
  <si>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</si>
  <si>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</si>
  <si>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</si>
  <si>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</si>
  <si>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</si>
  <si>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</si>
  <si>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</si>
  <si>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</si>
  <si>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</si>
  <si>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</si>
  <si>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</si>
  <si>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</si>
  <si>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</si>
  <si>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</si>
  <si>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</si>
  <si>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</si>
  <si>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</si>
  <si>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</si>
  <si>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</si>
  <si>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</si>
  <si>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</si>
  <si>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</si>
  <si>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</si>
  <si>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</si>
  <si>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</si>
  <si>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</si>
  <si>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</si>
  <si>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</si>
  <si>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</si>
  <si>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</si>
  <si>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</si>
  <si>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</si>
  <si>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</si>
  <si>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</si>
  <si>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</si>
  <si>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</si>
  <si>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</si>
  <si>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</si>
  <si>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</si>
  <si>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</si>
  <si>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</si>
  <si>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</si>
  <si>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</si>
  <si>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</si>
  <si>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</si>
  <si>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</si>
  <si>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</si>
  <si>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</si>
  <si>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</si>
  <si>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</si>
  <si>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</si>
  <si>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</si>
  <si>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</si>
  <si>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</si>
  <si>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</si>
  <si>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</si>
  <si>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</si>
  <si>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</si>
  <si>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</si>
  <si>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</si>
  <si>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</si>
  <si>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</si>
  <si>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</si>
  <si>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</si>
  <si>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</si>
  <si>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</si>
  <si>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</si>
  <si>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</si>
  <si>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</si>
  <si>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</si>
  <si>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</si>
  <si>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</si>
  <si>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</si>
  <si>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</si>
  <si>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</si>
  <si>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</si>
  <si>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</si>
  <si>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</si>
  <si>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</si>
  <si>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</si>
  <si>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</si>
  <si>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</si>
  <si>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</si>
  <si>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</si>
  <si>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</si>
  <si>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</si>
  <si>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</si>
  <si>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</si>
  <si>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</si>
  <si>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</si>
  <si>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</si>
  <si>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</si>
  <si>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</si>
  <si>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</si>
  <si>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</si>
  <si>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</si>
  <si>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</si>
  <si>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</si>
  <si>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</si>
  <si>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</si>
  <si>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</si>
  <si>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</si>
  <si>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</si>
  <si>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</si>
  <si>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</si>
  <si>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</si>
  <si>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</si>
  <si>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</si>
  <si>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</si>
  <si>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</si>
  <si>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</si>
  <si>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</si>
  <si>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</si>
  <si>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</si>
  <si>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</si>
  <si>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</si>
  <si>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</si>
  <si>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</si>
  <si>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</si>
  <si>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</si>
  <si>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</si>
  <si>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</si>
  <si>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</si>
  <si>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</si>
  <si>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</si>
  <si>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</si>
  <si>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</si>
  <si>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</si>
  <si>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</si>
  <si>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</si>
  <si>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</si>
  <si>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</si>
  <si>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</si>
  <si>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</si>
  <si>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</si>
  <si>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</si>
  <si>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</si>
  <si>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</si>
  <si>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</si>
  <si>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</si>
  <si>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</si>
  <si>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</si>
  <si>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</si>
  <si>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</si>
  <si>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</si>
  <si>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</si>
  <si>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</si>
  <si>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</si>
  <si>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</si>
  <si>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</si>
  <si>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</si>
  <si>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</si>
  <si>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</si>
  <si>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</si>
  <si>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</si>
  <si>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</si>
  <si>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</si>
  <si>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</si>
  <si>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</si>
  <si>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</si>
  <si>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</si>
  <si>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</si>
  <si>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</si>
  <si>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</si>
  <si>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</si>
  <si>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</si>
  <si>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</si>
  <si>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</si>
  <si>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</si>
  <si>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</si>
  <si>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</si>
  <si>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</si>
  <si>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</si>
  <si>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</si>
  <si>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</si>
  <si>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</si>
  <si>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</si>
  <si>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</si>
  <si>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</si>
  <si>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</si>
  <si>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</si>
  <si>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</si>
  <si>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</si>
  <si>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</si>
  <si>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</si>
  <si>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</si>
  <si>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</si>
  <si>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</si>
  <si>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</si>
  <si>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</si>
  <si>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</si>
  <si>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</si>
  <si>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</si>
  <si>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</si>
  <si>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</si>
  <si>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</si>
  <si>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</si>
  <si>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</si>
  <si>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</si>
  <si>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</si>
  <si>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</si>
  <si>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</si>
  <si>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</si>
  <si>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</si>
  <si>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</si>
  <si>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</si>
  <si>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</si>
  <si>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</si>
  <si>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</si>
  <si>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</si>
  <si>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</si>
  <si>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</si>
  <si>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</si>
  <si>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</si>
  <si>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</si>
  <si>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</si>
  <si>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</si>
  <si>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</si>
  <si>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</si>
  <si>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</si>
  <si>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</si>
  <si>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</si>
  <si>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</si>
  <si>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</si>
  <si>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</si>
  <si>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</si>
  <si>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</si>
  <si>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</si>
  <si>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</si>
  <si>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</si>
  <si>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</si>
  <si>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</si>
  <si>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</si>
  <si>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</si>
  <si>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</si>
  <si>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</si>
  <si>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</si>
  <si>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</si>
  <si>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</si>
  <si>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</si>
  <si>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</si>
  <si>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</si>
  <si>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</si>
  <si>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</si>
  <si>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</si>
  <si>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</si>
  <si>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</si>
  <si>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</si>
  <si>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</si>
  <si>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</si>
  <si>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</si>
  <si>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</si>
  <si>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</si>
  <si>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</si>
  <si>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</si>
  <si>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</si>
  <si>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</si>
  <si>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</si>
  <si>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</si>
  <si>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</si>
  <si>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</si>
  <si>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</si>
  <si>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</si>
  <si>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</si>
  <si>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</si>
  <si>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</si>
  <si>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</si>
  <si>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</si>
  <si>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</si>
  <si>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</si>
  <si>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</si>
  <si>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</si>
  <si>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</si>
  <si>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</si>
  <si>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</si>
  <si>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</si>
  <si>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</si>
  <si>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</si>
  <si>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</si>
  <si>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</si>
  <si>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</si>
  <si>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</si>
  <si>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</si>
  <si>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</si>
  <si>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</si>
  <si>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</si>
  <si>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</si>
  <si>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</si>
  <si>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</si>
  <si>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</si>
  <si>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</si>
  <si>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</si>
  <si>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</si>
  <si>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</si>
  <si>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</si>
  <si>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</si>
  <si>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</si>
  <si>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</si>
  <si>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</si>
  <si>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</si>
  <si>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</si>
  <si>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</si>
  <si>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</si>
  <si>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</si>
  <si>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</si>
  <si>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</si>
  <si>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</si>
  <si>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</si>
  <si>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</si>
  <si>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</si>
  <si>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</si>
  <si>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</si>
  <si>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</si>
  <si>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</si>
  <si>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</si>
  <si>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</si>
  <si>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</si>
  <si>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</si>
  <si>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</si>
  <si>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</si>
  <si>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</si>
  <si>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</si>
  <si>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</si>
  <si>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</si>
  <si>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</si>
  <si>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</si>
  <si>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</si>
  <si>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</si>
  <si>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</si>
  <si>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</si>
  <si>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</si>
  <si>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</si>
  <si>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</si>
  <si>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</si>
  <si>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</si>
  <si>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</si>
  <si>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</si>
  <si>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</si>
  <si>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</si>
  <si>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</si>
  <si>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</si>
  <si>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</si>
  <si>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</si>
  <si>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</si>
  <si>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</si>
  <si>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</si>
  <si>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</si>
  <si>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</si>
  <si>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</si>
  <si>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</si>
  <si>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</si>
  <si>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</si>
  <si>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</si>
  <si>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</si>
  <si>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</si>
  <si>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</si>
  <si>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</si>
  <si>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</si>
  <si>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</si>
  <si>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</si>
  <si>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</si>
  <si>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</si>
  <si>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</si>
  <si>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</si>
  <si>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</si>
  <si>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</si>
  <si>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</si>
  <si>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</si>
  <si>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</si>
  <si>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</si>
  <si>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</si>
  <si>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</si>
  <si>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</si>
  <si>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</si>
  <si>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</si>
  <si>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</si>
  <si>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</si>
  <si>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</si>
  <si>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</si>
  <si>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</si>
  <si>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</si>
  <si>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</si>
  <si>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</si>
  <si>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</si>
  <si>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</si>
  <si>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</si>
  <si>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</si>
  <si>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</si>
  <si>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</si>
  <si>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</si>
  <si>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</si>
  <si>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</si>
  <si>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</si>
  <si>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</si>
  <si>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</si>
  <si>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</si>
  <si>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</si>
  <si>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</si>
  <si>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</si>
  <si>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</si>
  <si>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</si>
  <si>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</si>
  <si>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</si>
  <si>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</si>
  <si>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</si>
  <si>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</si>
  <si>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</si>
  <si>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</si>
  <si>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</si>
  <si>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</si>
  <si>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</si>
  <si>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</si>
  <si>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</si>
  <si>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</si>
  <si>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</si>
  <si>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03361721</t>
  </si>
  <si>
    <t>030026579</t>
  </si>
  <si>
    <t>48188420009</t>
  </si>
  <si>
    <t>ZRAČNA LUKA OSIJEK d.o.o.</t>
  </si>
  <si>
    <t>OSIJEK</t>
  </si>
  <si>
    <t>KLISA, VUKOVARSKA 67</t>
  </si>
  <si>
    <t>info@osijek-airport.hr</t>
  </si>
  <si>
    <t>www.osijek-airport.hr</t>
  </si>
  <si>
    <t>PANCIĆ ĐURĐICA</t>
  </si>
  <si>
    <t>031514410</t>
  </si>
  <si>
    <t>031514460</t>
  </si>
  <si>
    <t>djurdjica.pancic@osijek-airport.hr</t>
  </si>
  <si>
    <t>MARINIĆ DOMAGOJ</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</si>
</sst>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s>
  <fonts count="10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4"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3" fillId="0" borderId="0">
      <alignment/>
      <protection/>
    </xf>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75"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75"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4" fillId="0" borderId="19" xfId="58" applyFont="1" applyBorder="1" applyAlignment="1">
      <alignment horizontal="right" vertical="center"/>
      <protection/>
    </xf>
    <xf numFmtId="0" fontId="24"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8" applyFont="1" applyBorder="1" applyAlignment="1">
      <alignment horizontal="left" vertical="center"/>
      <protection/>
    </xf>
    <xf numFmtId="0" fontId="24" fillId="0" borderId="32" xfId="58" applyFont="1" applyBorder="1" applyAlignment="1">
      <alignment horizontal="left" vertical="center"/>
      <protection/>
    </xf>
    <xf numFmtId="0" fontId="33" fillId="37" borderId="33" xfId="58" applyFont="1" applyFill="1" applyBorder="1" applyAlignment="1">
      <alignment horizontal="center" vertical="center" wrapText="1"/>
      <protection/>
    </xf>
    <xf numFmtId="0" fontId="33" fillId="37" borderId="34" xfId="58" applyFont="1" applyFill="1" applyBorder="1" applyAlignment="1">
      <alignment horizontal="center" vertical="center" wrapText="1"/>
      <protection/>
    </xf>
    <xf numFmtId="0" fontId="40" fillId="0" borderId="35" xfId="58" applyFont="1" applyBorder="1" applyAlignment="1">
      <alignment horizontal="center" vertical="center"/>
      <protection/>
    </xf>
    <xf numFmtId="0" fontId="40" fillId="0" borderId="19" xfId="58" applyFont="1" applyBorder="1" applyAlignment="1">
      <alignment horizontal="center" vertical="center"/>
      <protection/>
    </xf>
    <xf numFmtId="0" fontId="41" fillId="0" borderId="19" xfId="58" applyFont="1" applyBorder="1" applyAlignment="1">
      <alignment horizontal="center" vertical="center"/>
      <protection/>
    </xf>
    <xf numFmtId="0" fontId="41" fillId="0" borderId="31" xfId="58" applyFont="1" applyBorder="1" applyAlignment="1">
      <alignment horizontal="left" vertical="center"/>
      <protection/>
    </xf>
    <xf numFmtId="0" fontId="41" fillId="0" borderId="20" xfId="58" applyFont="1" applyBorder="1" applyAlignment="1">
      <alignment horizontal="center" vertical="center"/>
      <protection/>
    </xf>
    <xf numFmtId="0" fontId="40" fillId="0" borderId="36" xfId="58" applyFont="1" applyBorder="1" applyAlignment="1">
      <alignment horizontal="left" vertical="center"/>
      <protection/>
    </xf>
    <xf numFmtId="0" fontId="40" fillId="0" borderId="31" xfId="58"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53" applyFont="1" applyFill="1" applyBorder="1" applyAlignment="1" applyProtection="1">
      <alignment horizontal="center" vertical="center" shrinkToFit="1"/>
      <protection/>
    </xf>
    <xf numFmtId="0" fontId="42" fillId="39" borderId="38" xfId="53" applyFont="1" applyFill="1" applyBorder="1" applyAlignment="1" applyProtection="1">
      <alignment horizontal="center" vertical="center" shrinkToFit="1"/>
      <protection/>
    </xf>
    <xf numFmtId="0" fontId="38" fillId="39" borderId="39" xfId="53" applyFont="1" applyFill="1" applyBorder="1" applyAlignment="1" applyProtection="1">
      <alignment horizontal="center" vertical="center" shrinkToFit="1"/>
      <protection/>
    </xf>
    <xf numFmtId="0" fontId="42" fillId="39" borderId="40" xfId="53" applyFont="1" applyFill="1" applyBorder="1" applyAlignment="1" applyProtection="1">
      <alignment horizontal="center" vertical="center" shrinkToFit="1"/>
      <protection/>
    </xf>
    <xf numFmtId="0" fontId="38" fillId="39" borderId="41" xfId="53" applyFont="1" applyFill="1" applyBorder="1" applyAlignment="1" applyProtection="1">
      <alignment horizontal="center" vertical="center" shrinkToFit="1"/>
      <protection/>
    </xf>
    <xf numFmtId="0" fontId="38" fillId="39" borderId="42" xfId="53" applyFont="1" applyFill="1" applyBorder="1" applyAlignment="1" applyProtection="1">
      <alignment horizontal="center" vertical="center" shrinkToFit="1"/>
      <protection/>
    </xf>
    <xf numFmtId="0" fontId="33"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75"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53"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167" fontId="8" fillId="0" borderId="53" xfId="0" applyNumberFormat="1" applyFont="1" applyBorder="1" applyAlignment="1" applyProtection="1">
      <alignment horizontal="right" vertical="center" wrapText="1"/>
      <protection hidden="1"/>
    </xf>
    <xf numFmtId="167"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167" fontId="8" fillId="0" borderId="55" xfId="0" applyNumberFormat="1" applyFont="1" applyBorder="1" applyAlignment="1" applyProtection="1">
      <alignment horizontal="right" vertical="center" wrapText="1"/>
      <protection hidden="1"/>
    </xf>
    <xf numFmtId="167"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167" fontId="8" fillId="0" borderId="57" xfId="0" applyNumberFormat="1" applyFont="1" applyBorder="1" applyAlignment="1" applyProtection="1">
      <alignment horizontal="right" vertical="center" wrapText="1"/>
      <protection hidden="1"/>
    </xf>
    <xf numFmtId="167"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53" applyFont="1" applyFill="1" applyBorder="1" applyAlignment="1" applyProtection="1">
      <alignment vertical="center" wrapText="1"/>
      <protection/>
    </xf>
    <xf numFmtId="0" fontId="26" fillId="35" borderId="65" xfId="53" applyFont="1" applyFill="1" applyBorder="1" applyAlignment="1" applyProtection="1">
      <alignment vertical="center" wrapText="1"/>
      <protection/>
    </xf>
    <xf numFmtId="0" fontId="26" fillId="35" borderId="66" xfId="53"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53" applyFont="1" applyFill="1" applyBorder="1" applyAlignment="1" applyProtection="1">
      <alignment vertical="center" wrapText="1"/>
      <protection/>
    </xf>
    <xf numFmtId="0" fontId="26" fillId="35" borderId="0" xfId="53" applyFont="1" applyFill="1" applyBorder="1" applyAlignment="1" applyProtection="1">
      <alignment vertical="center" wrapText="1"/>
      <protection/>
    </xf>
    <xf numFmtId="0" fontId="26" fillId="35" borderId="68" xfId="53"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53" applyFont="1" applyFill="1" applyBorder="1" applyAlignment="1" applyProtection="1">
      <alignment vertical="center" wrapText="1"/>
      <protection/>
    </xf>
    <xf numFmtId="0" fontId="24" fillId="35" borderId="70" xfId="53" applyFont="1" applyFill="1" applyBorder="1" applyAlignment="1" applyProtection="1">
      <alignment vertical="center" wrapText="1"/>
      <protection/>
    </xf>
    <xf numFmtId="0" fontId="24" fillId="35" borderId="71" xfId="53"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8" applyFont="1" applyBorder="1" applyAlignment="1">
      <alignment horizontal="left" vertical="center"/>
      <protection/>
    </xf>
    <xf numFmtId="0" fontId="41" fillId="0" borderId="31" xfId="58" applyFont="1" applyBorder="1" applyAlignment="1">
      <alignment horizontal="left" vertical="center"/>
      <protection/>
    </xf>
    <xf numFmtId="0" fontId="41" fillId="0" borderId="106" xfId="58" applyFont="1" applyBorder="1" applyAlignment="1">
      <alignment horizontal="left" vertical="center"/>
      <protection/>
    </xf>
    <xf numFmtId="0" fontId="41" fillId="0" borderId="32" xfId="58" applyFont="1" applyBorder="1" applyAlignment="1">
      <alignment horizontal="left" vertical="center"/>
      <protection/>
    </xf>
    <xf numFmtId="0" fontId="40" fillId="0" borderId="102" xfId="58" applyFont="1" applyBorder="1" applyAlignment="1">
      <alignment horizontal="left" vertical="center"/>
      <protection/>
    </xf>
    <xf numFmtId="0" fontId="40" fillId="0" borderId="80" xfId="58"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8"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8" applyFont="1" applyBorder="1" applyAlignment="1">
      <alignment horizontal="left" vertical="center"/>
      <protection/>
    </xf>
    <xf numFmtId="0" fontId="40"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5239342.44</v>
      </c>
      <c r="I3" s="27">
        <f>ABS(ROUND(J3,0)-J3)+ABS(ROUND(K3,0)-K3)</f>
        <v>0</v>
      </c>
      <c r="J3" s="75">
        <f>Bilanca!K11</f>
        <v>86513868</v>
      </c>
      <c r="K3" s="76">
        <f>Bilanca!L11</f>
        <v>87726627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38653.53</v>
      </c>
      <c r="I4" s="77">
        <f>ABS(ROUND(J4,0)-J4)+ABS(ROUND(K4,0)-K4)</f>
        <v>0</v>
      </c>
      <c r="J4" s="75">
        <f>Bilanca!K12</f>
        <v>520083</v>
      </c>
      <c r="K4" s="76">
        <f>Bilanca!L12</f>
        <v>384184</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03361721</v>
      </c>
      <c r="C6" s="27"/>
      <c r="D6" s="27" t="s">
        <v>2272</v>
      </c>
      <c r="E6" s="27">
        <v>1</v>
      </c>
      <c r="F6" s="27">
        <f>Bilanca!I14</f>
        <v>5</v>
      </c>
      <c r="G6" s="27">
        <f>IF(Bilanca!J14=0,"",Bilanca!J14)</f>
      </c>
      <c r="H6" s="224">
        <f t="shared" si="1"/>
        <v>64422.55</v>
      </c>
      <c r="I6" s="77">
        <f t="shared" si="2"/>
        <v>0</v>
      </c>
      <c r="J6" s="75">
        <f>Bilanca!K14</f>
        <v>520083</v>
      </c>
      <c r="K6" s="76">
        <f>Bilanca!L14</f>
        <v>384184</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030026579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48188420009</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ZRAČNA LUKA OSIJEK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31000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OSIJEK</v>
      </c>
      <c r="C11" s="27"/>
      <c r="D11" s="27" t="s">
        <v>2272</v>
      </c>
      <c r="E11" s="27">
        <v>1</v>
      </c>
      <c r="F11" s="27">
        <f>Bilanca!I19</f>
        <v>10</v>
      </c>
      <c r="G11" s="27">
        <f>IF(Bilanca!J19=0,"",Bilanca!J19)</f>
      </c>
      <c r="H11" s="224">
        <f t="shared" si="1"/>
        <v>26047047.1</v>
      </c>
      <c r="I11" s="27">
        <f t="shared" si="2"/>
        <v>0</v>
      </c>
      <c r="J11" s="75">
        <f>Bilanca!K19</f>
        <v>85924385</v>
      </c>
      <c r="K11" s="76">
        <f>Bilanca!L19</f>
        <v>87273043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KLISA, VUKOVARSKA 67</v>
      </c>
      <c r="C12" s="27"/>
      <c r="D12" s="27" t="s">
        <v>2272</v>
      </c>
      <c r="E12" s="27">
        <v>1</v>
      </c>
      <c r="F12" s="27">
        <f>Bilanca!I20</f>
        <v>11</v>
      </c>
      <c r="G12" s="27">
        <f>IF(Bilanca!J20=0,"",Bilanca!J20)</f>
      </c>
      <c r="H12" s="224">
        <f t="shared" si="1"/>
        <v>3542587.4000000004</v>
      </c>
      <c r="I12" s="77">
        <f t="shared" si="2"/>
        <v>0</v>
      </c>
      <c r="J12" s="75">
        <f>Bilanca!K20</f>
        <v>9432070</v>
      </c>
      <c r="K12" s="76">
        <f>Bilanca!L20</f>
        <v>11386635</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info@osijek-airport.hr</v>
      </c>
      <c r="C13" s="27"/>
      <c r="D13" s="27" t="s">
        <v>2272</v>
      </c>
      <c r="E13" s="27">
        <v>1</v>
      </c>
      <c r="F13" s="27">
        <f>Bilanca!I21</f>
        <v>12</v>
      </c>
      <c r="G13" s="27">
        <f>IF(Bilanca!J21=0,"",Bilanca!J21)</f>
      </c>
      <c r="H13" s="224">
        <f t="shared" si="1"/>
        <v>25522651.560000002</v>
      </c>
      <c r="I13" s="27">
        <f t="shared" si="2"/>
        <v>0</v>
      </c>
      <c r="J13" s="75">
        <f>Bilanca!K21</f>
        <v>71623151</v>
      </c>
      <c r="K13" s="76">
        <f>Bilanca!L21</f>
        <v>70532806</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www.osijek-airport.hr</v>
      </c>
      <c r="C14" s="27"/>
      <c r="D14" s="27" t="s">
        <v>2272</v>
      </c>
      <c r="E14" s="27">
        <v>1</v>
      </c>
      <c r="F14" s="27">
        <f>Bilanca!I22</f>
        <v>13</v>
      </c>
      <c r="G14" s="27">
        <f>IF(Bilanca!J22=0,"",Bilanca!J22)</f>
      </c>
      <c r="H14" s="224">
        <f t="shared" si="1"/>
        <v>994062.03</v>
      </c>
      <c r="I14" s="77">
        <f t="shared" si="2"/>
        <v>0</v>
      </c>
      <c r="J14" s="75">
        <f>Bilanca!K22</f>
        <v>2625611</v>
      </c>
      <c r="K14" s="76">
        <f>Bilanca!L22</f>
        <v>2510510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14</v>
      </c>
      <c r="C15" s="27"/>
      <c r="D15" s="27" t="s">
        <v>2272</v>
      </c>
      <c r="E15" s="27">
        <v>1</v>
      </c>
      <c r="F15" s="27">
        <f>Bilanca!I23</f>
        <v>14</v>
      </c>
      <c r="G15" s="27">
        <f>IF(Bilanca!J23=0,"",Bilanca!J23)</f>
      </c>
      <c r="H15" s="224">
        <f t="shared" si="1"/>
        <v>525659.8200000001</v>
      </c>
      <c r="I15" s="27">
        <f t="shared" si="2"/>
        <v>0</v>
      </c>
      <c r="J15" s="75">
        <f>Bilanca!K23</f>
        <v>1253461</v>
      </c>
      <c r="K15" s="76">
        <f>Bilanca!L23</f>
        <v>1250626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312</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5223</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678676.55</v>
      </c>
      <c r="I18" s="77">
        <f t="shared" si="2"/>
        <v>0</v>
      </c>
      <c r="J18" s="75">
        <f>Bilanca!K26</f>
        <v>920797</v>
      </c>
      <c r="K18" s="76">
        <f>Bilanca!L26</f>
        <v>1535709</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32905.62</v>
      </c>
      <c r="I19" s="27">
        <f t="shared" si="2"/>
        <v>0</v>
      </c>
      <c r="J19" s="75">
        <f>Bilanca!K27</f>
        <v>69295</v>
      </c>
      <c r="K19" s="76">
        <f>Bilanca!L27</f>
        <v>56757</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1</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41640</v>
      </c>
      <c r="I21" s="27">
        <f t="shared" si="2"/>
        <v>0</v>
      </c>
      <c r="J21" s="75">
        <f>Bilanca!K29</f>
        <v>69400</v>
      </c>
      <c r="K21" s="76">
        <f>Bilanca!L29</f>
        <v>69400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47886</v>
      </c>
      <c r="I24" s="77">
        <f t="shared" si="2"/>
        <v>0</v>
      </c>
      <c r="J24" s="75">
        <f>Bilanca!K32</f>
        <v>69400</v>
      </c>
      <c r="K24" s="76">
        <f>Bilanca!L32</f>
        <v>69400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43</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43</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43</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954394.96</v>
      </c>
      <c r="I35" s="27">
        <f t="shared" si="2"/>
        <v>0</v>
      </c>
      <c r="J35" s="75">
        <f>Bilanca!K43</f>
        <v>1896730</v>
      </c>
      <c r="K35" s="76">
        <f>Bilanca!L43</f>
        <v>455157</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88093.6</v>
      </c>
      <c r="I36" s="77">
        <f t="shared" si="2"/>
        <v>0</v>
      </c>
      <c r="J36" s="75">
        <f>Bilanca!K44</f>
        <v>98276</v>
      </c>
      <c r="K36" s="76">
        <f>Bilanca!L44</f>
        <v>76710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77204.52</v>
      </c>
      <c r="I37" s="27">
        <f t="shared" si="2"/>
        <v>0</v>
      </c>
      <c r="J37" s="75">
        <f>Bilanca!K45</f>
        <v>96941</v>
      </c>
      <c r="K37" s="76">
        <f>Bilanca!L45</f>
        <v>58758</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PANCIĆ ĐURĐICA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031514410</v>
      </c>
      <c r="C40" s="27"/>
      <c r="D40" s="27" t="s">
        <v>2272</v>
      </c>
      <c r="E40" s="27">
        <v>1</v>
      </c>
      <c r="F40" s="27">
        <f>Bilanca!I48</f>
        <v>39</v>
      </c>
      <c r="G40" s="27">
        <f>IF(Bilanca!J48=0,"",Bilanca!J48)</f>
      </c>
      <c r="H40" s="224">
        <f t="shared" si="1"/>
        <v>14523.210000000001</v>
      </c>
      <c r="I40" s="77">
        <f t="shared" si="2"/>
        <v>0</v>
      </c>
      <c r="J40" s="75">
        <f>Bilanca!K48</f>
        <v>1335</v>
      </c>
      <c r="K40" s="76">
        <f>Bilanca!L48</f>
        <v>17952</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031514460</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djurdjica.pancic@osijek-airport.hr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MARINIĆ DOMAGOJ</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457725.97</v>
      </c>
      <c r="I44" s="77">
        <f t="shared" si="2"/>
        <v>0</v>
      </c>
      <c r="J44" s="75">
        <f>Bilanca!K52</f>
        <v>362081</v>
      </c>
      <c r="K44" s="76">
        <f>Bilanca!L52</f>
        <v>351199</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334758.6</v>
      </c>
      <c r="I46" s="77">
        <f t="shared" si="4"/>
        <v>0</v>
      </c>
      <c r="J46" s="75">
        <f>Bilanca!K54</f>
        <v>177422</v>
      </c>
      <c r="K46" s="76">
        <f>Bilanca!L54</f>
        <v>283243</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92682.72</v>
      </c>
      <c r="I49" s="27">
        <f t="shared" si="4"/>
        <v>0</v>
      </c>
      <c r="J49" s="75">
        <f>Bilanca!K57</f>
        <v>162859</v>
      </c>
      <c r="K49" s="76">
        <f>Bilanca!L57</f>
        <v>15115</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62466.18</v>
      </c>
      <c r="I50" s="77">
        <f t="shared" si="4"/>
        <v>0</v>
      </c>
      <c r="J50" s="75">
        <f>Bilanca!K58</f>
        <v>21800</v>
      </c>
      <c r="K50" s="76">
        <f>Bilanca!L58</f>
        <v>52841</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NE</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NE</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NE</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NE</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5319232319.910001</v>
      </c>
      <c r="C59" s="27"/>
      <c r="D59" s="27" t="s">
        <v>2272</v>
      </c>
      <c r="E59" s="27">
        <v>1</v>
      </c>
      <c r="F59" s="27">
        <f>Bilanca!I67</f>
        <v>58</v>
      </c>
      <c r="G59" s="27">
        <f>IF(Bilanca!J67=0,"",Bilanca!J67)</f>
      </c>
      <c r="H59" s="224">
        <f t="shared" si="3"/>
        <v>864704.02</v>
      </c>
      <c r="I59" s="27">
        <f t="shared" si="4"/>
        <v>0</v>
      </c>
      <c r="J59" s="75">
        <f>Bilanca!K67</f>
        <v>1436373</v>
      </c>
      <c r="K59" s="76">
        <f>Bilanca!L67</f>
        <v>27248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307228.34</v>
      </c>
      <c r="I60" s="77">
        <f t="shared" si="4"/>
        <v>0</v>
      </c>
      <c r="J60" s="75">
        <f>Bilanca!K68</f>
        <v>113570</v>
      </c>
      <c r="K60" s="76">
        <f>Bilanca!L68</f>
        <v>203578</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159176935.20000002</v>
      </c>
      <c r="I61" s="27">
        <f>ABS(ROUND(J61,0)-J61)+ABS(ROUND(K61,0)-K61)</f>
        <v>0</v>
      </c>
      <c r="J61" s="75">
        <f>Bilanca!K69</f>
        <v>88524168</v>
      </c>
      <c r="K61" s="76">
        <f>Bilanca!L69</f>
        <v>88385362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31372151.9</v>
      </c>
      <c r="I63" s="27">
        <f>ABS(ROUND(J63,0)-J63)+ABS(ROUND(K63,0)-K63)</f>
        <v>0</v>
      </c>
      <c r="J63" s="75">
        <f>Bilanca!K72</f>
        <v>16863407</v>
      </c>
      <c r="K63" s="76">
        <f>Bilanca!L72</f>
        <v>16868419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49533120</v>
      </c>
      <c r="I64" s="27">
        <f>ABS(ROUND(J64,0)-J64)+ABS(ROUND(K64,0)-K64)</f>
        <v>0</v>
      </c>
      <c r="J64" s="75">
        <f>Bilanca!K73</f>
        <v>26208000</v>
      </c>
      <c r="K64" s="76">
        <f>Bilanca!L73</f>
        <v>26208000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-20202145.2</v>
      </c>
      <c r="I73" s="27">
        <f t="shared" si="6"/>
        <v>0</v>
      </c>
      <c r="J73" s="75">
        <f>Bilanca!K82</f>
        <v>-9369347</v>
      </c>
      <c r="K73" s="76">
        <f>Bilanca!L82</f>
        <v>-9344594</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20763315.900000002</v>
      </c>
      <c r="I75" s="27">
        <f t="shared" si="6"/>
        <v>0</v>
      </c>
      <c r="J75" s="75">
        <f>Bilanca!K84</f>
        <v>9369347</v>
      </c>
      <c r="K75" s="76">
        <f>Bilanca!L84</f>
        <v>9344594</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26085</v>
      </c>
      <c r="I76" s="27">
        <f t="shared" si="6"/>
        <v>0</v>
      </c>
      <c r="J76" s="75">
        <f>Bilanca!K85</f>
        <v>24754</v>
      </c>
      <c r="K76" s="76">
        <f>Bilanca!L85</f>
        <v>5013</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26432.800000000003</v>
      </c>
      <c r="I77" s="27">
        <f t="shared" si="6"/>
        <v>0</v>
      </c>
      <c r="J77" s="75">
        <f>Bilanca!K86</f>
        <v>24754</v>
      </c>
      <c r="K77" s="76">
        <f>Bilanca!L86</f>
        <v>5013</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15875585.13</v>
      </c>
      <c r="I84" s="27">
        <f t="shared" si="6"/>
        <v>0</v>
      </c>
      <c r="J84" s="75">
        <f>Bilanca!K93</f>
        <v>6917057</v>
      </c>
      <c r="K84" s="76">
        <f>Bilanca!L93</f>
        <v>6105077</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16449401.46</v>
      </c>
      <c r="I87" s="27">
        <f t="shared" si="6"/>
        <v>0</v>
      </c>
      <c r="J87" s="75">
        <f>Bilanca!K96</f>
        <v>6917057</v>
      </c>
      <c r="K87" s="76">
        <f>Bilanca!L96</f>
        <v>6105077</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16366693.35</v>
      </c>
      <c r="I94" s="27">
        <f t="shared" si="6"/>
        <v>0</v>
      </c>
      <c r="J94" s="75">
        <f>Bilanca!K103</f>
        <v>5071857</v>
      </c>
      <c r="K94" s="76">
        <f>Bilanca!L103</f>
        <v>6263369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3990000</v>
      </c>
      <c r="I96" s="27">
        <f t="shared" si="6"/>
        <v>0</v>
      </c>
      <c r="J96" s="75">
        <f>Bilanca!K105</f>
        <v>1700000</v>
      </c>
      <c r="K96" s="76">
        <f>Bilanca!L105</f>
        <v>1250000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6270292.800000001</v>
      </c>
      <c r="I97" s="27">
        <f t="shared" si="6"/>
        <v>0</v>
      </c>
      <c r="J97" s="75">
        <f>Bilanca!K106</f>
        <v>582943</v>
      </c>
      <c r="K97" s="76">
        <f>Bilanca!L106</f>
        <v>2974306</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9508.91</v>
      </c>
      <c r="I98" s="27">
        <f t="shared" si="6"/>
        <v>0</v>
      </c>
      <c r="J98" s="75">
        <f>Bilanca!K107</f>
        <v>9803</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5151972.7</v>
      </c>
      <c r="I99" s="27">
        <f aca="true" t="shared" si="9" ref="I99:I107">ABS(ROUND(J99,0)-J99)+ABS(ROUND(K99,0)-K99)</f>
        <v>0</v>
      </c>
      <c r="J99" s="75">
        <f>Bilanca!K108</f>
        <v>2223449</v>
      </c>
      <c r="K99" s="76">
        <f>Bilanca!L108</f>
        <v>1516833</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869733.22</v>
      </c>
      <c r="I102" s="27">
        <f t="shared" si="9"/>
        <v>0</v>
      </c>
      <c r="J102" s="75">
        <f>Bilanca!K111</f>
        <v>236938</v>
      </c>
      <c r="K102" s="76">
        <f>Bilanca!L111</f>
        <v>312092</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396057.83999999997</v>
      </c>
      <c r="I103" s="27">
        <f t="shared" si="9"/>
        <v>0</v>
      </c>
      <c r="J103" s="75">
        <f>Bilanca!K112</f>
        <v>130358</v>
      </c>
      <c r="K103" s="76">
        <f>Bilanca!L112</f>
        <v>128967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368243.4</v>
      </c>
      <c r="I106" s="27">
        <f t="shared" si="9"/>
        <v>0</v>
      </c>
      <c r="J106" s="75">
        <f>Bilanca!K115</f>
        <v>188366</v>
      </c>
      <c r="K106" s="76">
        <f>Bilanca!L115</f>
        <v>81171</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188646971.46</v>
      </c>
      <c r="I107" s="27">
        <f t="shared" si="9"/>
        <v>0</v>
      </c>
      <c r="J107" s="75">
        <f>Bilanca!K116</f>
        <v>59671847</v>
      </c>
      <c r="K107" s="76">
        <f>Bilanca!L116</f>
        <v>59148497</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283865534.44</v>
      </c>
      <c r="I108" s="27">
        <f aca="true" t="shared" si="11" ref="I108:I113">ABS(ROUND(J108,0)-J108)+ABS(ROUND(K108,0)-K108)</f>
        <v>0</v>
      </c>
      <c r="J108" s="75">
        <f>Bilanca!K117</f>
        <v>88524168</v>
      </c>
      <c r="K108" s="76">
        <f>Bilanca!L117</f>
        <v>88385362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42138437.16</v>
      </c>
      <c r="I112" s="27">
        <f t="shared" si="11"/>
        <v>0</v>
      </c>
      <c r="J112" s="75">
        <f>RDG!K9</f>
        <v>9925052</v>
      </c>
      <c r="K112" s="76">
        <f>RDG!L9</f>
        <v>14018752</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9665449.92</v>
      </c>
      <c r="I113" s="27">
        <f t="shared" si="11"/>
        <v>0</v>
      </c>
      <c r="J113" s="75">
        <f>RDG!K10</f>
        <v>1567858</v>
      </c>
      <c r="K113" s="76">
        <f>RDG!L10</f>
        <v>3531004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33145939.700000003</v>
      </c>
      <c r="I114" s="27">
        <f aca="true" t="shared" si="13" ref="I114:I158">ABS(ROUND(J114,0)-J114)+ABS(ROUND(K114,0)-K114)</f>
        <v>0</v>
      </c>
      <c r="J114" s="75">
        <f>RDG!K11</f>
        <v>8357194</v>
      </c>
      <c r="K114" s="76">
        <f>RDG!L11</f>
        <v>10487748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41560091.94</v>
      </c>
      <c r="I115" s="27">
        <f t="shared" si="13"/>
        <v>0</v>
      </c>
      <c r="J115" s="75">
        <f>RDG!K12</f>
        <v>9456087</v>
      </c>
      <c r="K115" s="76">
        <f>RDG!L12</f>
        <v>13500067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15973820.6</v>
      </c>
      <c r="I117" s="27">
        <f t="shared" si="13"/>
        <v>0</v>
      </c>
      <c r="J117" s="75">
        <f>RDG!K14</f>
        <v>2165179</v>
      </c>
      <c r="K117" s="76">
        <f>RDG!L14</f>
        <v>5802678</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2679027.3899999997</v>
      </c>
      <c r="I118" s="27">
        <f t="shared" si="13"/>
        <v>0</v>
      </c>
      <c r="J118" s="75">
        <f>RDG!K15</f>
        <v>698873</v>
      </c>
      <c r="K118" s="76">
        <f>RDG!L15</f>
        <v>795447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347649.24000000005</v>
      </c>
      <c r="I119" s="27">
        <f t="shared" si="13"/>
        <v>0</v>
      </c>
      <c r="J119" s="75">
        <f>RDG!K16</f>
        <v>7822</v>
      </c>
      <c r="K119" s="76">
        <f>RDG!L16</f>
        <v>143398</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13311518.5</v>
      </c>
      <c r="I120" s="27">
        <f t="shared" si="13"/>
        <v>0</v>
      </c>
      <c r="J120" s="75">
        <f>RDG!K17</f>
        <v>1458484</v>
      </c>
      <c r="K120" s="76">
        <f>RDG!L17</f>
        <v>4863833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15553996.8</v>
      </c>
      <c r="I121" s="27">
        <f t="shared" si="13"/>
        <v>0</v>
      </c>
      <c r="J121" s="75">
        <f>RDG!K18</f>
        <v>4170124</v>
      </c>
      <c r="K121" s="76">
        <f>RDG!L18</f>
        <v>4395770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10045369.18</v>
      </c>
      <c r="I122" s="27">
        <f t="shared" si="13"/>
        <v>0</v>
      </c>
      <c r="J122" s="75">
        <f>RDG!K19</f>
        <v>2705350</v>
      </c>
      <c r="K122" s="76">
        <f>RDG!L19</f>
        <v>2798304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3476197.24</v>
      </c>
      <c r="I123" s="27">
        <f t="shared" si="13"/>
        <v>0</v>
      </c>
      <c r="J123" s="75">
        <f>RDG!K20</f>
        <v>913374</v>
      </c>
      <c r="K123" s="76">
        <f>RDG!L20</f>
        <v>967984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2226747.7199999997</v>
      </c>
      <c r="I124" s="27">
        <f t="shared" si="13"/>
        <v>0</v>
      </c>
      <c r="J124" s="75">
        <f>RDG!K21</f>
        <v>551400</v>
      </c>
      <c r="K124" s="76">
        <f>RDG!L21</f>
        <v>629482</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7733553.879999999</v>
      </c>
      <c r="I125" s="27">
        <f t="shared" si="13"/>
        <v>0</v>
      </c>
      <c r="J125" s="75">
        <f>RDG!K22</f>
        <v>1945567</v>
      </c>
      <c r="K125" s="76">
        <f>RDG!L22</f>
        <v>2145585</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4121881.25</v>
      </c>
      <c r="I126" s="27">
        <f t="shared" si="13"/>
        <v>0</v>
      </c>
      <c r="J126" s="75">
        <f>RDG!K23</f>
        <v>1088381</v>
      </c>
      <c r="K126" s="76">
        <f>RDG!L23</f>
        <v>1104562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246714</v>
      </c>
      <c r="I131" s="27">
        <f t="shared" si="13"/>
        <v>0</v>
      </c>
      <c r="J131" s="75">
        <f>RDG!K28</f>
        <v>86836</v>
      </c>
      <c r="K131" s="76">
        <f>RDG!L28</f>
        <v>51472</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38899.14</v>
      </c>
      <c r="I132" s="27">
        <f t="shared" si="13"/>
        <v>0</v>
      </c>
      <c r="J132" s="75">
        <f>RDG!K29</f>
        <v>14152</v>
      </c>
      <c r="K132" s="76">
        <f>RDG!L29</f>
        <v>7771</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39493.02</v>
      </c>
      <c r="I134" s="27">
        <f t="shared" si="13"/>
        <v>0</v>
      </c>
      <c r="J134" s="75">
        <f>RDG!K31</f>
        <v>14152</v>
      </c>
      <c r="K134" s="76">
        <f>RDG!L31</f>
        <v>7771</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2056711.1300000001</v>
      </c>
      <c r="I138" s="27">
        <f t="shared" si="13"/>
        <v>0</v>
      </c>
      <c r="J138" s="75">
        <f>RDG!K35</f>
        <v>458363</v>
      </c>
      <c r="K138" s="76">
        <f>RDG!L35</f>
        <v>521443</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2086736.11</v>
      </c>
      <c r="I140" s="27">
        <f t="shared" si="13"/>
        <v>0</v>
      </c>
      <c r="J140" s="75">
        <f>RDG!K37</f>
        <v>458363</v>
      </c>
      <c r="K140" s="76">
        <f>RDG!L37</f>
        <v>521443</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55468685</v>
      </c>
      <c r="I147" s="27">
        <f t="shared" si="13"/>
        <v>0</v>
      </c>
      <c r="J147" s="75">
        <f>RDG!K44</f>
        <v>9939204</v>
      </c>
      <c r="K147" s="76">
        <f>RDG!L44</f>
        <v>14026523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55797480.9</v>
      </c>
      <c r="I148" s="27">
        <f t="shared" si="13"/>
        <v>0</v>
      </c>
      <c r="J148" s="75">
        <f>RDG!K45</f>
        <v>9914450</v>
      </c>
      <c r="K148" s="76">
        <f>RDG!L45</f>
        <v>14021510</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51474.4</v>
      </c>
      <c r="I149" s="27">
        <f t="shared" si="13"/>
        <v>0</v>
      </c>
      <c r="J149" s="75">
        <f>RDG!K46</f>
        <v>24754</v>
      </c>
      <c r="K149" s="76">
        <f>RDG!L46</f>
        <v>5013</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51822.2</v>
      </c>
      <c r="I150" s="27">
        <f t="shared" si="13"/>
        <v>0</v>
      </c>
      <c r="J150" s="75">
        <f>RDG!K47</f>
        <v>24754</v>
      </c>
      <c r="K150" s="76">
        <f>RDG!L47</f>
        <v>5013</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52865.600000000006</v>
      </c>
      <c r="I153" s="27">
        <f t="shared" si="13"/>
        <v>0</v>
      </c>
      <c r="J153" s="75">
        <f>RDG!K50</f>
        <v>24754</v>
      </c>
      <c r="K153" s="76">
        <f>RDG!L50</f>
        <v>5013</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53213.399999999994</v>
      </c>
      <c r="I154" s="27">
        <f t="shared" si="13"/>
        <v>0</v>
      </c>
      <c r="J154" s="75">
        <f>RDG!K51</f>
        <v>24754</v>
      </c>
      <c r="K154" s="76">
        <f>RDG!L51</f>
        <v>5013</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5391900.720000001</v>
      </c>
      <c r="I173" s="27">
        <f>ABS(ROUND(J173,0)-J173)+ABS(ROUND(K173,0)-K173)</f>
        <v>0</v>
      </c>
      <c r="J173" s="75">
        <f>PodDop!K11</f>
        <v>1175838</v>
      </c>
      <c r="K173" s="76">
        <f>PodDop!L11</f>
        <v>979494</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57003451.8</v>
      </c>
      <c r="I178" s="27">
        <f t="shared" si="17"/>
        <v>0</v>
      </c>
      <c r="J178" s="75">
        <f>PodDop!K16</f>
        <v>9432070</v>
      </c>
      <c r="K178" s="76">
        <f>PodDop!L16</f>
        <v>11386635</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493468723.6</v>
      </c>
      <c r="I179" s="27">
        <f t="shared" si="17"/>
        <v>0</v>
      </c>
      <c r="J179" s="75">
        <f>PodDop!K17</f>
        <v>92366372</v>
      </c>
      <c r="K179" s="76">
        <f>PodDop!L17</f>
        <v>92431624</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41182016.269999996</v>
      </c>
      <c r="I180" s="27">
        <f t="shared" si="17"/>
        <v>0</v>
      </c>
      <c r="J180" s="75">
        <f>PodDop!K18</f>
        <v>7662039</v>
      </c>
      <c r="K180" s="76">
        <f>PodDop!L18</f>
        <v>7672337</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56399130</v>
      </c>
      <c r="I181" s="27">
        <f t="shared" si="17"/>
        <v>0</v>
      </c>
      <c r="J181" s="75">
        <f>PodDop!K19</f>
        <v>10355168</v>
      </c>
      <c r="K181" s="76">
        <f>PodDop!L19</f>
        <v>10488841</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7305753.45</v>
      </c>
      <c r="I184" s="27">
        <f t="shared" si="17"/>
        <v>0</v>
      </c>
      <c r="J184" s="75">
        <f>PodDop!K22</f>
        <v>920797</v>
      </c>
      <c r="K184" s="76">
        <f>PodDop!L22</f>
        <v>1535709</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382894.8</v>
      </c>
      <c r="I185" s="27">
        <f t="shared" si="17"/>
        <v>0</v>
      </c>
      <c r="J185" s="75">
        <f>PodDop!K23</f>
        <v>69295</v>
      </c>
      <c r="K185" s="76">
        <f>PodDop!L23</f>
        <v>69400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693975062.3299999</v>
      </c>
      <c r="I188" s="27">
        <f t="shared" si="17"/>
        <v>0</v>
      </c>
      <c r="J188" s="75">
        <f>PodDop!K26</f>
        <v>121981579</v>
      </c>
      <c r="K188" s="76">
        <f>PodDop!L26</f>
        <v>124564040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5893472.880000001</v>
      </c>
      <c r="I189" s="27">
        <f t="shared" si="17"/>
        <v>0</v>
      </c>
      <c r="J189" s="75">
        <f>PodDop!K27</f>
        <v>1175838</v>
      </c>
      <c r="K189" s="76">
        <f>PodDop!L27</f>
        <v>979494</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2435172.39</v>
      </c>
      <c r="I190" s="27">
        <f t="shared" si="17"/>
        <v>0</v>
      </c>
      <c r="J190" s="75">
        <f>PodDop!K28</f>
        <v>520083</v>
      </c>
      <c r="K190" s="76">
        <f>PodDop!L28</f>
        <v>384184</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94710755.4</v>
      </c>
      <c r="I191" s="27">
        <f t="shared" si="17"/>
        <v>0</v>
      </c>
      <c r="J191" s="75">
        <f>PodDop!K29</f>
        <v>16615922</v>
      </c>
      <c r="K191" s="76">
        <f>PodDop!L29</f>
        <v>16615922</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68725299.12</v>
      </c>
      <c r="I192" s="27">
        <f t="shared" si="17"/>
        <v>0</v>
      </c>
      <c r="J192" s="75">
        <f>PodDop!K30</f>
        <v>12132410</v>
      </c>
      <c r="K192" s="76">
        <f>PodDop!L30</f>
        <v>11924711</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440867619</v>
      </c>
      <c r="I195" s="27">
        <f t="shared" si="17"/>
        <v>0</v>
      </c>
      <c r="J195" s="75">
        <f>PodDop!K33</f>
        <v>75750450</v>
      </c>
      <c r="K195" s="76">
        <f>PodDop!L33</f>
        <v>75750450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344324196.45</v>
      </c>
      <c r="I196" s="27">
        <f t="shared" si="17"/>
        <v>0</v>
      </c>
      <c r="J196" s="75">
        <f>PodDop!K34</f>
        <v>59490741</v>
      </c>
      <c r="K196" s="76">
        <f>PodDop!L34</f>
        <v>58542885</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13739713.680000002</v>
      </c>
      <c r="I197" s="27">
        <f t="shared" si="17"/>
        <v>0</v>
      </c>
      <c r="J197" s="75">
        <f>PodDop!K35</f>
        <v>2336686</v>
      </c>
      <c r="K197" s="76">
        <f>PodDop!L35</f>
        <v>2336686</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3911947.2</v>
      </c>
      <c r="I198" s="27">
        <f t="shared" si="17"/>
        <v>0</v>
      </c>
      <c r="J198" s="75">
        <f>PodDop!K36</f>
        <v>856644</v>
      </c>
      <c r="K198" s="76">
        <f>PodDop!L36</f>
        <v>564558</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1036337701.24</v>
      </c>
      <c r="I207" s="27">
        <f t="shared" si="17"/>
        <v>0</v>
      </c>
      <c r="J207" s="75">
        <f>PodDop!K45</f>
        <v>168878774</v>
      </c>
      <c r="K207" s="76">
        <f>PodDop!L45</f>
        <v>167098890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433056</v>
      </c>
      <c r="I209" s="27">
        <f t="shared" si="17"/>
        <v>0</v>
      </c>
      <c r="J209" s="75">
        <f>PodDop!K47</f>
        <v>69400</v>
      </c>
      <c r="K209" s="76">
        <f>PodDop!L47</f>
        <v>69400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441384</v>
      </c>
      <c r="I213" s="27">
        <f t="shared" si="17"/>
        <v>0</v>
      </c>
      <c r="J213" s="75">
        <f>PodDop!K51</f>
        <v>69400</v>
      </c>
      <c r="K213" s="76">
        <f>PodDop!L51</f>
        <v>69400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9933784.44</v>
      </c>
      <c r="I229" s="27">
        <f t="shared" si="17"/>
        <v>0</v>
      </c>
      <c r="J229" s="75">
        <f>PodDop!K68</f>
        <v>1856923</v>
      </c>
      <c r="K229" s="76">
        <f>PodDop!L68</f>
        <v>1250000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10108061.36</v>
      </c>
      <c r="I233" s="27">
        <f t="shared" si="17"/>
        <v>0</v>
      </c>
      <c r="J233" s="75">
        <f>PodDop!K72</f>
        <v>1856923</v>
      </c>
      <c r="K233" s="76">
        <f>PodDop!L72</f>
        <v>1250000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20797977.060000002</v>
      </c>
      <c r="I242" s="27">
        <f t="shared" si="19"/>
        <v>0</v>
      </c>
      <c r="J242" s="75">
        <f>PodDop!K82</f>
        <v>1567858</v>
      </c>
      <c r="K242" s="76">
        <f>PodDop!L82</f>
        <v>3531004</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178078.12000000002</v>
      </c>
      <c r="I243" s="27">
        <f t="shared" si="19"/>
        <v>0</v>
      </c>
      <c r="J243" s="75">
        <f>PodDop!K83</f>
        <v>16128</v>
      </c>
      <c r="K243" s="76">
        <f>PodDop!L83</f>
        <v>28729</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1283600.88</v>
      </c>
      <c r="I249" s="27">
        <f t="shared" si="19"/>
        <v>0</v>
      </c>
      <c r="J249" s="75">
        <f>PodDop!K89</f>
        <v>168337</v>
      </c>
      <c r="K249" s="76">
        <f>PodDop!L89</f>
        <v>174622</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2875153.2</v>
      </c>
      <c r="I250" s="27">
        <f t="shared" si="19"/>
        <v>0</v>
      </c>
      <c r="J250" s="75">
        <f>PodDop!K90</f>
        <v>328410</v>
      </c>
      <c r="K250" s="76">
        <f>PodDop!L90</f>
        <v>413135</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25939282.5</v>
      </c>
      <c r="I251" s="27">
        <f t="shared" si="19"/>
        <v>0</v>
      </c>
      <c r="J251" s="75">
        <f>PodDop!K91</f>
        <v>2080733</v>
      </c>
      <c r="K251" s="76">
        <f>PodDop!L91</f>
        <v>4147490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68075795.81</v>
      </c>
      <c r="I252" s="27">
        <f t="shared" si="19"/>
        <v>0</v>
      </c>
      <c r="J252" s="75">
        <f>PodDop!K92</f>
        <v>6353757</v>
      </c>
      <c r="K252" s="76">
        <f>PodDop!L92</f>
        <v>10384037</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2909793.6</v>
      </c>
      <c r="I253" s="27">
        <f t="shared" si="19"/>
        <v>0</v>
      </c>
      <c r="J253" s="75">
        <f>PodDop!K93</f>
        <v>328410</v>
      </c>
      <c r="K253" s="76">
        <f>PodDop!L93</f>
        <v>413135</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72105103.05</v>
      </c>
      <c r="I256" s="27">
        <f t="shared" si="19"/>
        <v>0</v>
      </c>
      <c r="J256" s="75">
        <f>PodDop!K96</f>
        <v>6682167</v>
      </c>
      <c r="K256" s="76">
        <f>PodDop!L96</f>
        <v>10797172</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20597393.92</v>
      </c>
      <c r="I257" s="27">
        <f t="shared" si="19"/>
        <v>0</v>
      </c>
      <c r="J257" s="75">
        <f>PodDop!K97</f>
        <v>983849</v>
      </c>
      <c r="K257" s="76">
        <f>PodDop!L97</f>
        <v>3531004</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1500903.1300000001</v>
      </c>
      <c r="I258" s="27">
        <f t="shared" si="19"/>
        <v>0</v>
      </c>
      <c r="J258" s="75">
        <f>PodDop!K98</f>
        <v>584009</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22265054.28</v>
      </c>
      <c r="I259" s="27">
        <f t="shared" si="19"/>
        <v>0</v>
      </c>
      <c r="J259" s="75">
        <f>PodDop!K99</f>
        <v>1567858</v>
      </c>
      <c r="K259" s="76">
        <f>PodDop!L99</f>
        <v>3531004</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4019967.4899999998</v>
      </c>
      <c r="I260" s="27">
        <f t="shared" si="19"/>
        <v>0</v>
      </c>
      <c r="J260" s="75">
        <f>PodDop!K100</f>
        <v>462781</v>
      </c>
      <c r="K260" s="76">
        <f>PodDop!L100</f>
        <v>544665</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1449435</v>
      </c>
      <c r="I261" s="27">
        <f t="shared" si="19"/>
        <v>0</v>
      </c>
      <c r="J261" s="75">
        <f>PodDop!K101</f>
        <v>147155</v>
      </c>
      <c r="K261" s="76">
        <f>PodDop!L101</f>
        <v>205160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42971.03999999999</v>
      </c>
      <c r="I262" s="27">
        <f t="shared" si="19"/>
        <v>0</v>
      </c>
      <c r="J262" s="75">
        <f>PodDop!K102</f>
        <v>7822</v>
      </c>
      <c r="K262" s="76">
        <f>PodDop!L102</f>
        <v>4321</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55092.78</v>
      </c>
      <c r="I268" s="27">
        <f t="shared" si="19"/>
        <v>0</v>
      </c>
      <c r="J268" s="75">
        <f>PodDop!K108</f>
        <v>3584</v>
      </c>
      <c r="K268" s="76">
        <f>PodDop!L108</f>
        <v>8525</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858163.8</v>
      </c>
      <c r="I270" s="27">
        <f t="shared" si="19"/>
        <v>0</v>
      </c>
      <c r="J270" s="75">
        <f>PodDop!K110</f>
        <v>100064</v>
      </c>
      <c r="K270" s="76">
        <f>PodDop!L110</f>
        <v>109478</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16675.2</v>
      </c>
      <c r="I271" s="27">
        <f t="shared" si="19"/>
        <v>0</v>
      </c>
      <c r="J271" s="75">
        <f>PodDop!K111</f>
        <v>6176</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4692896.64</v>
      </c>
      <c r="I275" s="27">
        <f t="shared" si="19"/>
        <v>0</v>
      </c>
      <c r="J275" s="75">
        <f>PodDop!K115</f>
        <v>668678</v>
      </c>
      <c r="K275" s="76">
        <f>PodDop!L115</f>
        <v>522029</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819049</v>
      </c>
      <c r="I276" s="27">
        <f t="shared" si="19"/>
        <v>0</v>
      </c>
      <c r="J276" s="75">
        <f>PodDop!K116</f>
        <v>21836</v>
      </c>
      <c r="K276" s="76">
        <f>PodDop!L116</f>
        <v>138000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69910.8</v>
      </c>
      <c r="I277" s="27">
        <f t="shared" si="19"/>
        <v>0</v>
      </c>
      <c r="J277" s="75">
        <f>PodDop!K117</f>
        <v>4770</v>
      </c>
      <c r="K277" s="76">
        <f>PodDop!L117</f>
        <v>10280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12486556.14</v>
      </c>
      <c r="I278" s="27">
        <f t="shared" si="19"/>
        <v>0</v>
      </c>
      <c r="J278" s="75">
        <f>PodDop!K118</f>
        <v>1422866</v>
      </c>
      <c r="K278" s="76">
        <f>PodDop!L118</f>
        <v>1542458</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4238338.51</v>
      </c>
      <c r="I288" s="27">
        <f t="shared" si="19"/>
        <v>0</v>
      </c>
      <c r="J288" s="75">
        <f>PodDop!K128</f>
        <v>433887</v>
      </c>
      <c r="K288" s="76">
        <f>PodDop!L128</f>
        <v>521443</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703215.36</v>
      </c>
      <c r="I289" s="27">
        <f t="shared" si="19"/>
        <v>0</v>
      </c>
      <c r="J289" s="75">
        <f>PodDop!K129</f>
        <v>79112</v>
      </c>
      <c r="K289" s="76">
        <f>PodDop!L129</f>
        <v>82530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5959720.74</v>
      </c>
      <c r="I292" s="27">
        <f t="shared" si="19"/>
        <v>0</v>
      </c>
      <c r="J292" s="75">
        <f>PodDop!K132</f>
        <v>517720</v>
      </c>
      <c r="K292" s="76">
        <f>PodDop!L132</f>
        <v>765147</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55745.72</v>
      </c>
      <c r="I293" s="27">
        <f t="shared" si="19"/>
        <v>0</v>
      </c>
      <c r="J293" s="75">
        <f>PodDop!K133</f>
        <v>19091</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11098986.5</v>
      </c>
      <c r="I294" s="27">
        <f t="shared" si="19"/>
        <v>0</v>
      </c>
      <c r="J294" s="75">
        <f>PodDop!K134</f>
        <v>1049810</v>
      </c>
      <c r="K294" s="76">
        <f>PodDop!L134</f>
        <v>1369120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402.78</v>
      </c>
      <c r="I295" s="27">
        <f aca="true" t="shared" si="21" ref="I295:I303">ABS(ROUND(J295,0)-J295)+ABS(ROUND(K295,0)-K295)</f>
        <v>0</v>
      </c>
      <c r="J295" s="75">
        <f>PodDop!K136</f>
        <v>43</v>
      </c>
      <c r="K295" s="76">
        <f>PodDop!L136</f>
        <v>47</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386.45000000000005</v>
      </c>
      <c r="I296" s="27">
        <f t="shared" si="21"/>
        <v>0</v>
      </c>
      <c r="J296" s="75">
        <f>PodDop!K137</f>
        <v>43</v>
      </c>
      <c r="K296" s="76">
        <f>PodDop!L137</f>
        <v>44</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5.92</v>
      </c>
      <c r="I297" s="27">
        <f t="shared" si="21"/>
        <v>0</v>
      </c>
      <c r="J297" s="75">
        <f>PodDop!K138</f>
        <v>0</v>
      </c>
      <c r="K297" s="76">
        <f>PodDop!L138</f>
        <v>1</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693055.44</v>
      </c>
      <c r="I298" s="27">
        <f t="shared" si="21"/>
        <v>0</v>
      </c>
      <c r="J298" s="75">
        <f>PodDop!K139</f>
        <v>77390</v>
      </c>
      <c r="K298" s="76">
        <f>PodDop!L139</f>
        <v>77981</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717259.14</v>
      </c>
      <c r="I300" s="27">
        <f t="shared" si="21"/>
        <v>0</v>
      </c>
      <c r="J300" s="75">
        <f>PodDop!K141</f>
        <v>79564</v>
      </c>
      <c r="K300" s="76">
        <f>PodDop!L141</f>
        <v>80161</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03361721; ZRAČNA LUKA OSIJEK d.o.o.</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4"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1</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Nije ispravno</v>
      </c>
      <c r="C53" s="629" t="s">
        <v>619</v>
      </c>
      <c r="D53" s="629"/>
      <c r="E53" s="629"/>
      <c r="F53" s="629"/>
      <c r="G53" s="629"/>
      <c r="H53" s="629"/>
      <c r="I53" s="629"/>
      <c r="J53" s="629"/>
      <c r="L53" s="130">
        <f>MAX(M53:N53)</f>
        <v>1</v>
      </c>
      <c r="M53" s="130">
        <f>IF(MID(O53,2,1)&lt;&gt;".",1,0)</f>
        <v>1</v>
      </c>
      <c r="N53" s="130">
        <f>IF(MID(O53,6,1)&lt;&gt;",",1,0)</f>
        <v>1</v>
      </c>
      <c r="O53" s="35" t="str">
        <f>TEXT(1000.1,"#.000,00")</f>
        <v>1000.10000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INFO@OSIJEK-AIRPORT.HR</v>
      </c>
      <c r="N59" s="201" t="str">
        <f>UPPER(TRIM(Opci!C69))</f>
        <v>DJURDJICA.PANCIC@OSIJEK-AIRPORT.HR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https://osijekairporthr-my.sharepoint.com/personal/krasnodar_brlekovic_osijek-airport_hr/Documents/GFI POD/[GFI-POD  2014. g.ver. 2.0.4 (1).xls]Bilanca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Upozorenje!!!</v>
      </c>
      <c r="C83" s="632" t="s">
        <v>2859</v>
      </c>
      <c r="D83" s="632"/>
      <c r="E83" s="632"/>
      <c r="F83" s="632"/>
      <c r="G83" s="632"/>
      <c r="H83" s="632"/>
      <c r="I83" s="632"/>
      <c r="J83" s="632"/>
      <c r="L83" s="35">
        <f>IF(OR(M83=1,N83=1),1,0)</f>
        <v>1</v>
      </c>
      <c r="M83" s="35">
        <f>IF((PodDop!K81+PodDop!K82+PodDop!K84+PodDop!K85+PodDop!K87+PodDop!K88+PodDop!K89+PodDop!K90)&gt;(RDG!K10+1),1,0)</f>
        <v>1</v>
      </c>
      <c r="N83" s="35">
        <f>IF((PodDop!L81+PodDop!L82+PodDop!L84+PodDop!L85+PodDop!L87+PodDop!L88+PodDop!L89+PodDop!L90)&gt;(RDG!L10+1),1,0)</f>
        <v>1</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4.545454545454546</v>
      </c>
      <c r="Q92">
        <f>IF(Opci!C53+Opci!E53&gt;20,ABS(Opci!C53-Opci!E53)/(Opci!C53+Opci!E53)*200,0)</f>
        <v>4.545454545454546</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tabSelected="1"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0</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0 0     </v>
      </c>
      <c r="I20" s="289"/>
      <c r="J20" s="290"/>
    </row>
    <row r="21" spans="1:10" s="254" customFormat="1" ht="13.5" customHeight="1">
      <c r="A21" s="255" t="str">
        <f>IF(Opci!C25&lt;&gt;"",MID(Opci!C25,1,30),"")</f>
        <v>ZRAČNA LUKA OSIJEK d.o.o.</v>
      </c>
      <c r="B21" s="250"/>
      <c r="C21" s="250"/>
      <c r="D21" s="250"/>
      <c r="E21" s="250"/>
      <c r="F21" s="250"/>
      <c r="G21" s="250"/>
      <c r="H21" s="251"/>
      <c r="I21" s="252"/>
      <c r="J21" s="253"/>
    </row>
    <row r="22" spans="1:10" ht="13.5" customHeight="1">
      <c r="A22" s="255" t="str">
        <f>IF(Opci!C29&lt;&gt;"",MID(Opci!C29,1,30),"")</f>
        <v>KLISA, VUKOVARSKA 67</v>
      </c>
      <c r="B22" s="249"/>
      <c r="C22" s="249"/>
      <c r="D22" s="249"/>
      <c r="E22" s="249"/>
      <c r="F22" s="249"/>
      <c r="G22" s="249"/>
      <c r="H22" s="80"/>
      <c r="I22" s="247"/>
      <c r="J22" s="246"/>
    </row>
    <row r="23" spans="1:10" ht="13.5" customHeight="1">
      <c r="A23" s="255" t="str">
        <f>IF(AND(Opci!C27&lt;&gt;"",Opci!F27&lt;&gt;""),MID(Opci!C27&amp;" "&amp;Opci!F27,1,30),"")</f>
        <v>31000 OSIJEK</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4 8 1 8 8 4 2 0 0 0 9</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51"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0" activePane="bottomLeft" state="frozen"/>
      <selection pane="topLeft" activeCell="A1" sqref="A1"/>
      <selection pane="bottomLeft" activeCell="C43" sqref="C4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336172.1</v>
      </c>
      <c r="T2" s="192">
        <f>INT(VALUE(C21))/50</f>
        <v>600531.58</v>
      </c>
      <c r="U2" s="192">
        <f>INT(VALUE(C23))/100</f>
        <v>481884200.09</v>
      </c>
      <c r="V2" s="192">
        <f>LEN(Skriveni!B9)</f>
        <v>25</v>
      </c>
      <c r="W2" s="192">
        <f>INT(VALUE(C27))/100</f>
        <v>310</v>
      </c>
      <c r="X2" s="192">
        <f>LEN(Skriveni!B11)</f>
        <v>6</v>
      </c>
      <c r="Y2" s="192">
        <f>LEN(Skriveni!B12)</f>
        <v>20</v>
      </c>
      <c r="Z2" s="192">
        <f>INT(VALUE(C35))</f>
        <v>312</v>
      </c>
      <c r="AA2" s="192">
        <f>INT(VALUE(C39))</f>
        <v>5223</v>
      </c>
      <c r="AB2" s="192">
        <f>IF(C41="DA",1,0)</f>
        <v>0</v>
      </c>
      <c r="AC2" s="192">
        <f>IF(C43="DA",1,0)</f>
        <v>0</v>
      </c>
      <c r="AD2" s="192">
        <f>INT(VALUE(C45))</f>
        <v>1</v>
      </c>
      <c r="AE2" s="192">
        <f>INT(VALUE(C47))</f>
        <v>1</v>
      </c>
      <c r="AF2" s="192">
        <f>INT(VALUE(C49))</f>
        <v>11</v>
      </c>
      <c r="AG2" s="192">
        <f>C51*2+E51</f>
        <v>200</v>
      </c>
      <c r="AH2" s="192">
        <f>C53+2*E53+3*C55+4*E55</f>
        <v>434</v>
      </c>
      <c r="AI2" s="192">
        <f>C57*2+E57</f>
        <v>36</v>
      </c>
      <c r="AJ2" s="192">
        <f>LEN(Skriveni!B43)</f>
        <v>15</v>
      </c>
      <c r="AK2" s="220">
        <f>INT(VALUE(E43))/100</f>
        <v>0</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5319232319.910001</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31000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312</v>
      </c>
      <c r="D35" s="417" t="str">
        <f>IF(C35&lt;&gt;"",LOOKUP(C35,P29:P584,Q29:Q584),"Nije upisana općina!")</f>
        <v>Osijek</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14</v>
      </c>
      <c r="D37" s="417" t="str">
        <f>IF(C37&lt;&gt;"",LOOKUP(C37,T29:T49,U29:U49),"")</f>
        <v>OSIJEČKO-BARANJSKA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2027</v>
      </c>
      <c r="D39" s="422" t="str">
        <f>IF(C39&lt;&gt;"",LOOKUP(C39,Djel!A5:A621,Djel!B5:B621),"Djelatnost nije upisana!")</f>
        <v>Uslužne djelatnosti u vezi sa zračnim prijevozom</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DA</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50</v>
      </c>
      <c r="D43" s="217" t="s">
        <v>2689</v>
      </c>
      <c r="E43" s="424"/>
      <c r="F43" s="425"/>
      <c r="G43" s="46"/>
      <c r="H43" s="124" t="s">
        <v>50</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1</v>
      </c>
      <c r="D45" s="468" t="str">
        <f>IF(C45&lt;&gt;"",LOOKUP(C45,T52:T54,U52:U54),"Svrha predaje još nije odabrana")</f>
        <v>Predaja samo u statističke svrhe</v>
      </c>
      <c r="E45" s="469"/>
      <c r="F45" s="469"/>
      <c r="G45" s="423"/>
      <c r="H45" s="50" t="str">
        <f>IF(OR(NT_I!Q1&lt;&gt;0,NT_D!Q1&lt;&gt;0),"DA","NE")</f>
        <v>NE</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1</v>
      </c>
      <c r="D47" s="391" t="str">
        <f>IF(C47&lt;&gt;"",LOOKUP(C47,Sifre!A6:A8,Sifre!B6:B8),"Veličina nije upisana")</f>
        <v>Mali poduzetnik</v>
      </c>
      <c r="E47" s="392"/>
      <c r="F47" s="392"/>
      <c r="G47" s="392"/>
      <c r="H47" s="124" t="s">
        <v>50</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50</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v>0</v>
      </c>
      <c r="F51" s="46"/>
      <c r="G51" s="97"/>
      <c r="H51" s="124" t="s">
        <v>50</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43</v>
      </c>
      <c r="D53" s="171"/>
      <c r="E53" s="190">
        <v>45</v>
      </c>
      <c r="F53" s="171"/>
      <c r="G53" s="97"/>
      <c r="H53" s="124" t="s">
        <v>50</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43</v>
      </c>
      <c r="D55" s="171"/>
      <c r="E55" s="191">
        <v>43</v>
      </c>
      <c r="F55" s="171"/>
      <c r="G55" s="97"/>
      <c r="H55" s="124" t="s">
        <v>50</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2982</v>
      </c>
      <c r="D67" s="428"/>
      <c r="E67" s="429"/>
      <c r="F67" s="97"/>
      <c r="G67" s="167" t="s">
        <v>1484</v>
      </c>
      <c r="H67" s="427" t="s">
        <v>2983</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2984</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2985</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t="str">
        <f>IF(Kont!M1&gt;0,"Obrazac još uvijek sadrži neke pogreške! Ako ste završili s popunjavanjem, provjerite radni list Kont. Broj pogreški: "&amp;Kont!M1,"")</f>
        <v>Obrazac još uvijek sadrži neke pogreške! Ako ste završili s popunjavanjem, provjerite radni list Kont. Broj pogreški: 1</v>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1" activePane="bottomLeft" state="frozen"/>
      <selection pane="topLeft" activeCell="A1" sqref="A1"/>
      <selection pane="bottomLeft" activeCell="L117" sqref="L117"/>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48188420009; ZRAČNA LUKA OSIJEK d.o.o.</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86513868</v>
      </c>
      <c r="L11" s="59">
        <f>L12+L19+L29+L38+L42</f>
        <v>87726627</v>
      </c>
    </row>
    <row r="12" spans="1:12" ht="13.5" customHeight="1">
      <c r="A12" s="483" t="s">
        <v>753</v>
      </c>
      <c r="B12" s="484"/>
      <c r="C12" s="484"/>
      <c r="D12" s="484"/>
      <c r="E12" s="484"/>
      <c r="F12" s="484"/>
      <c r="G12" s="484"/>
      <c r="H12" s="485"/>
      <c r="I12" s="4">
        <v>3</v>
      </c>
      <c r="J12" s="8"/>
      <c r="K12" s="59">
        <f>SUM(K13:K18)</f>
        <v>520083</v>
      </c>
      <c r="L12" s="59">
        <f>SUM(L13:L18)</f>
        <v>384184</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520083</v>
      </c>
      <c r="L14" s="60">
        <v>384184</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c r="K19" s="59">
        <f>SUM(K20:K28)</f>
        <v>85924385</v>
      </c>
      <c r="L19" s="59">
        <f>SUM(L20:L28)</f>
        <v>87273043</v>
      </c>
    </row>
    <row r="20" spans="1:12" ht="13.5" customHeight="1">
      <c r="A20" s="477" t="s">
        <v>1436</v>
      </c>
      <c r="B20" s="478"/>
      <c r="C20" s="478"/>
      <c r="D20" s="478"/>
      <c r="E20" s="478"/>
      <c r="F20" s="478"/>
      <c r="G20" s="478"/>
      <c r="H20" s="479"/>
      <c r="I20" s="4">
        <v>11</v>
      </c>
      <c r="J20" s="8"/>
      <c r="K20" s="60">
        <v>9432070</v>
      </c>
      <c r="L20" s="60">
        <v>11386635</v>
      </c>
    </row>
    <row r="21" spans="1:12" ht="13.5" customHeight="1">
      <c r="A21" s="477" t="s">
        <v>186</v>
      </c>
      <c r="B21" s="478"/>
      <c r="C21" s="478"/>
      <c r="D21" s="478"/>
      <c r="E21" s="478"/>
      <c r="F21" s="478"/>
      <c r="G21" s="478"/>
      <c r="H21" s="479"/>
      <c r="I21" s="4">
        <v>12</v>
      </c>
      <c r="J21" s="8"/>
      <c r="K21" s="60">
        <v>71623151</v>
      </c>
      <c r="L21" s="60">
        <v>70532806</v>
      </c>
    </row>
    <row r="22" spans="1:12" ht="13.5" customHeight="1">
      <c r="A22" s="477" t="s">
        <v>1437</v>
      </c>
      <c r="B22" s="478"/>
      <c r="C22" s="478"/>
      <c r="D22" s="478"/>
      <c r="E22" s="478"/>
      <c r="F22" s="478"/>
      <c r="G22" s="478"/>
      <c r="H22" s="479"/>
      <c r="I22" s="4">
        <v>13</v>
      </c>
      <c r="J22" s="8"/>
      <c r="K22" s="60">
        <v>2625611</v>
      </c>
      <c r="L22" s="60">
        <v>2510510</v>
      </c>
    </row>
    <row r="23" spans="1:12" ht="13.5" customHeight="1">
      <c r="A23" s="477" t="s">
        <v>1273</v>
      </c>
      <c r="B23" s="478"/>
      <c r="C23" s="478"/>
      <c r="D23" s="478"/>
      <c r="E23" s="478"/>
      <c r="F23" s="478"/>
      <c r="G23" s="478"/>
      <c r="H23" s="479"/>
      <c r="I23" s="4">
        <v>14</v>
      </c>
      <c r="J23" s="8"/>
      <c r="K23" s="60">
        <v>1253461</v>
      </c>
      <c r="L23" s="60">
        <v>1250626</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920797</v>
      </c>
      <c r="L26" s="60">
        <v>1535709</v>
      </c>
    </row>
    <row r="27" spans="1:12" ht="13.5" customHeight="1">
      <c r="A27" s="477" t="s">
        <v>1165</v>
      </c>
      <c r="B27" s="478"/>
      <c r="C27" s="478"/>
      <c r="D27" s="478"/>
      <c r="E27" s="478"/>
      <c r="F27" s="478"/>
      <c r="G27" s="478"/>
      <c r="H27" s="479"/>
      <c r="I27" s="4">
        <v>18</v>
      </c>
      <c r="J27" s="8"/>
      <c r="K27" s="60">
        <v>69295</v>
      </c>
      <c r="L27" s="60">
        <v>56757</v>
      </c>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69400</v>
      </c>
      <c r="L29" s="59">
        <f>SUM(L30:L37)</f>
        <v>69400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v>69400</v>
      </c>
      <c r="L32" s="60">
        <v>69400</v>
      </c>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1896730</v>
      </c>
      <c r="L43" s="59">
        <f>L44+L52+L59+L67</f>
        <v>455157</v>
      </c>
    </row>
    <row r="44" spans="1:12" ht="13.5" customHeight="1">
      <c r="A44" s="483" t="s">
        <v>319</v>
      </c>
      <c r="B44" s="484"/>
      <c r="C44" s="484"/>
      <c r="D44" s="484"/>
      <c r="E44" s="484"/>
      <c r="F44" s="484"/>
      <c r="G44" s="484"/>
      <c r="H44" s="485"/>
      <c r="I44" s="4">
        <v>35</v>
      </c>
      <c r="J44" s="8"/>
      <c r="K44" s="59">
        <f>SUM(K45:K51)</f>
        <v>98276</v>
      </c>
      <c r="L44" s="59">
        <f>SUM(L45:L51)</f>
        <v>76710</v>
      </c>
    </row>
    <row r="45" spans="1:12" ht="13.5" customHeight="1">
      <c r="A45" s="477" t="s">
        <v>1485</v>
      </c>
      <c r="B45" s="478"/>
      <c r="C45" s="478"/>
      <c r="D45" s="478"/>
      <c r="E45" s="478"/>
      <c r="F45" s="478"/>
      <c r="G45" s="478"/>
      <c r="H45" s="479"/>
      <c r="I45" s="4">
        <v>36</v>
      </c>
      <c r="J45" s="8"/>
      <c r="K45" s="60">
        <v>96941</v>
      </c>
      <c r="L45" s="60">
        <v>58758</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v>1335</v>
      </c>
      <c r="L48" s="60">
        <v>17952</v>
      </c>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362081</v>
      </c>
      <c r="L52" s="59">
        <f>SUM(L53:L58)</f>
        <v>351199</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177422</v>
      </c>
      <c r="L54" s="60">
        <v>283243</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162859</v>
      </c>
      <c r="L57" s="60">
        <v>15115</v>
      </c>
    </row>
    <row r="58" spans="1:12" ht="13.5" customHeight="1">
      <c r="A58" s="477" t="s">
        <v>664</v>
      </c>
      <c r="B58" s="478"/>
      <c r="C58" s="478"/>
      <c r="D58" s="478"/>
      <c r="E58" s="478"/>
      <c r="F58" s="478"/>
      <c r="G58" s="478"/>
      <c r="H58" s="479"/>
      <c r="I58" s="4">
        <v>49</v>
      </c>
      <c r="J58" s="8"/>
      <c r="K58" s="60">
        <v>21800</v>
      </c>
      <c r="L58" s="60">
        <v>52841</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1436373</v>
      </c>
      <c r="L67" s="60">
        <v>27248</v>
      </c>
    </row>
    <row r="68" spans="1:12" ht="13.5" customHeight="1">
      <c r="A68" s="499" t="s">
        <v>2848</v>
      </c>
      <c r="B68" s="500"/>
      <c r="C68" s="500"/>
      <c r="D68" s="500"/>
      <c r="E68" s="500"/>
      <c r="F68" s="500"/>
      <c r="G68" s="500"/>
      <c r="H68" s="501"/>
      <c r="I68" s="4">
        <v>59</v>
      </c>
      <c r="J68" s="8"/>
      <c r="K68" s="60">
        <v>113570</v>
      </c>
      <c r="L68" s="60">
        <v>203578</v>
      </c>
    </row>
    <row r="69" spans="1:12" ht="13.5" customHeight="1">
      <c r="A69" s="499" t="s">
        <v>2298</v>
      </c>
      <c r="B69" s="500"/>
      <c r="C69" s="500"/>
      <c r="D69" s="500"/>
      <c r="E69" s="500"/>
      <c r="F69" s="500"/>
      <c r="G69" s="500"/>
      <c r="H69" s="501"/>
      <c r="I69" s="4">
        <v>60</v>
      </c>
      <c r="J69" s="8"/>
      <c r="K69" s="59">
        <f>K10+K11+K43+K68</f>
        <v>88524168</v>
      </c>
      <c r="L69" s="59">
        <f>L10+L11+L43+L68</f>
        <v>88385362</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16863407</v>
      </c>
      <c r="L72" s="79">
        <f>L73+L74+L75+L81+L82+L85+L88</f>
        <v>16868419</v>
      </c>
    </row>
    <row r="73" spans="1:12" ht="13.5" customHeight="1">
      <c r="A73" s="483" t="s">
        <v>2741</v>
      </c>
      <c r="B73" s="484"/>
      <c r="C73" s="484"/>
      <c r="D73" s="484"/>
      <c r="E73" s="484"/>
      <c r="F73" s="484"/>
      <c r="G73" s="484"/>
      <c r="H73" s="485"/>
      <c r="I73" s="4">
        <v>63</v>
      </c>
      <c r="J73" s="8"/>
      <c r="K73" s="60">
        <v>26208000</v>
      </c>
      <c r="L73" s="60">
        <v>26208000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c r="K81" s="60"/>
      <c r="L81" s="60"/>
    </row>
    <row r="82" spans="1:12" ht="13.5" customHeight="1">
      <c r="A82" s="483" t="s">
        <v>2295</v>
      </c>
      <c r="B82" s="484"/>
      <c r="C82" s="484"/>
      <c r="D82" s="484"/>
      <c r="E82" s="484"/>
      <c r="F82" s="484"/>
      <c r="G82" s="484"/>
      <c r="H82" s="485"/>
      <c r="I82" s="4">
        <v>72</v>
      </c>
      <c r="J82" s="8"/>
      <c r="K82" s="59">
        <f>K83-K84</f>
        <v>-9369347</v>
      </c>
      <c r="L82" s="59">
        <f>L83-L84</f>
        <v>-9344594</v>
      </c>
    </row>
    <row r="83" spans="1:12" ht="13.5" customHeight="1">
      <c r="A83" s="486" t="s">
        <v>2824</v>
      </c>
      <c r="B83" s="487"/>
      <c r="C83" s="487"/>
      <c r="D83" s="487"/>
      <c r="E83" s="487"/>
      <c r="F83" s="487"/>
      <c r="G83" s="487"/>
      <c r="H83" s="488"/>
      <c r="I83" s="4">
        <v>73</v>
      </c>
      <c r="J83" s="8"/>
      <c r="K83" s="60"/>
      <c r="L83" s="60"/>
    </row>
    <row r="84" spans="1:12" ht="13.5" customHeight="1">
      <c r="A84" s="486" t="s">
        <v>2825</v>
      </c>
      <c r="B84" s="487"/>
      <c r="C84" s="487"/>
      <c r="D84" s="487"/>
      <c r="E84" s="487"/>
      <c r="F84" s="487"/>
      <c r="G84" s="487"/>
      <c r="H84" s="488"/>
      <c r="I84" s="4">
        <v>74</v>
      </c>
      <c r="J84" s="8"/>
      <c r="K84" s="60">
        <v>9369347</v>
      </c>
      <c r="L84" s="60">
        <v>9344594</v>
      </c>
    </row>
    <row r="85" spans="1:12" ht="13.5" customHeight="1">
      <c r="A85" s="483" t="s">
        <v>2296</v>
      </c>
      <c r="B85" s="484"/>
      <c r="C85" s="484"/>
      <c r="D85" s="484"/>
      <c r="E85" s="484"/>
      <c r="F85" s="484"/>
      <c r="G85" s="484"/>
      <c r="H85" s="485"/>
      <c r="I85" s="4">
        <v>75</v>
      </c>
      <c r="J85" s="8"/>
      <c r="K85" s="59">
        <f>K86-K87</f>
        <v>24754</v>
      </c>
      <c r="L85" s="59">
        <f>L86-L87</f>
        <v>5013</v>
      </c>
    </row>
    <row r="86" spans="1:12" ht="13.5" customHeight="1">
      <c r="A86" s="486" t="s">
        <v>2826</v>
      </c>
      <c r="B86" s="487"/>
      <c r="C86" s="487"/>
      <c r="D86" s="487"/>
      <c r="E86" s="487"/>
      <c r="F86" s="487"/>
      <c r="G86" s="487"/>
      <c r="H86" s="488"/>
      <c r="I86" s="4">
        <v>76</v>
      </c>
      <c r="J86" s="8"/>
      <c r="K86" s="60">
        <v>24754</v>
      </c>
      <c r="L86" s="60">
        <v>5013</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6917057</v>
      </c>
      <c r="L93" s="59">
        <f>SUM(L94:L102)</f>
        <v>6105077</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v>6917057</v>
      </c>
      <c r="L96" s="60">
        <v>6105077</v>
      </c>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5071857</v>
      </c>
      <c r="L103" s="59">
        <f>SUM(L104:L115)</f>
        <v>6263369</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v>1700000</v>
      </c>
      <c r="L105" s="60">
        <v>1250000</v>
      </c>
    </row>
    <row r="106" spans="1:12" ht="13.5" customHeight="1">
      <c r="A106" s="477" t="s">
        <v>1524</v>
      </c>
      <c r="B106" s="478"/>
      <c r="C106" s="478"/>
      <c r="D106" s="478"/>
      <c r="E106" s="478"/>
      <c r="F106" s="478"/>
      <c r="G106" s="478"/>
      <c r="H106" s="479"/>
      <c r="I106" s="4">
        <v>96</v>
      </c>
      <c r="J106" s="8"/>
      <c r="K106" s="60">
        <v>582943</v>
      </c>
      <c r="L106" s="60">
        <v>2974306</v>
      </c>
    </row>
    <row r="107" spans="1:12" ht="13.5" customHeight="1">
      <c r="A107" s="477" t="s">
        <v>179</v>
      </c>
      <c r="B107" s="478"/>
      <c r="C107" s="478"/>
      <c r="D107" s="478"/>
      <c r="E107" s="478"/>
      <c r="F107" s="478"/>
      <c r="G107" s="478"/>
      <c r="H107" s="479"/>
      <c r="I107" s="4">
        <v>97</v>
      </c>
      <c r="J107" s="8"/>
      <c r="K107" s="60">
        <v>9803</v>
      </c>
      <c r="L107" s="60"/>
    </row>
    <row r="108" spans="1:12" ht="13.5" customHeight="1">
      <c r="A108" s="477" t="s">
        <v>180</v>
      </c>
      <c r="B108" s="478"/>
      <c r="C108" s="478"/>
      <c r="D108" s="478"/>
      <c r="E108" s="478"/>
      <c r="F108" s="478"/>
      <c r="G108" s="478"/>
      <c r="H108" s="479"/>
      <c r="I108" s="4">
        <v>98</v>
      </c>
      <c r="J108" s="8"/>
      <c r="K108" s="60">
        <v>2223449</v>
      </c>
      <c r="L108" s="60">
        <v>1516833</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236938</v>
      </c>
      <c r="L111" s="60">
        <v>312092</v>
      </c>
    </row>
    <row r="112" spans="1:12" ht="13.5" customHeight="1">
      <c r="A112" s="477" t="s">
        <v>314</v>
      </c>
      <c r="B112" s="478"/>
      <c r="C112" s="478"/>
      <c r="D112" s="478"/>
      <c r="E112" s="478"/>
      <c r="F112" s="478"/>
      <c r="G112" s="478"/>
      <c r="H112" s="479"/>
      <c r="I112" s="4">
        <v>102</v>
      </c>
      <c r="J112" s="8"/>
      <c r="K112" s="60">
        <v>130358</v>
      </c>
      <c r="L112" s="60">
        <v>128967</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188366</v>
      </c>
      <c r="L115" s="60">
        <v>81171</v>
      </c>
    </row>
    <row r="116" spans="1:12" ht="13.5" customHeight="1">
      <c r="A116" s="499" t="s">
        <v>1525</v>
      </c>
      <c r="B116" s="500"/>
      <c r="C116" s="500"/>
      <c r="D116" s="500"/>
      <c r="E116" s="500"/>
      <c r="F116" s="500"/>
      <c r="G116" s="500"/>
      <c r="H116" s="501"/>
      <c r="I116" s="4">
        <v>106</v>
      </c>
      <c r="J116" s="8"/>
      <c r="K116" s="60">
        <v>59671847</v>
      </c>
      <c r="L116" s="60">
        <v>59148497</v>
      </c>
    </row>
    <row r="117" spans="1:12" ht="13.5" customHeight="1">
      <c r="A117" s="499" t="s">
        <v>1271</v>
      </c>
      <c r="B117" s="500"/>
      <c r="C117" s="500"/>
      <c r="D117" s="500"/>
      <c r="E117" s="500"/>
      <c r="F117" s="500"/>
      <c r="G117" s="500"/>
      <c r="H117" s="501"/>
      <c r="I117" s="4">
        <v>107</v>
      </c>
      <c r="J117" s="8"/>
      <c r="K117" s="59">
        <f>K72+K89+K93+K103+K116</f>
        <v>88524168</v>
      </c>
      <c r="L117" s="59">
        <f>L72+L89+L93+L103+L116</f>
        <v>88385362</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18" activePane="bottomLeft" state="frozen"/>
      <selection pane="topLeft" activeCell="A1" sqref="A1"/>
      <selection pane="bottomLeft" activeCell="L17" sqref="L17"/>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48188420009; ZRAČNA LUKA OSIJEK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9925052</v>
      </c>
      <c r="L9" s="79">
        <f>SUM(L10:L11)</f>
        <v>14018752</v>
      </c>
    </row>
    <row r="10" spans="1:12" s="3" customFormat="1" ht="13.5" customHeight="1">
      <c r="A10" s="499" t="s">
        <v>1722</v>
      </c>
      <c r="B10" s="500"/>
      <c r="C10" s="500"/>
      <c r="D10" s="500"/>
      <c r="E10" s="500"/>
      <c r="F10" s="500"/>
      <c r="G10" s="500"/>
      <c r="H10" s="501"/>
      <c r="I10" s="4">
        <v>112</v>
      </c>
      <c r="J10" s="8"/>
      <c r="K10" s="60">
        <v>1567858</v>
      </c>
      <c r="L10" s="60">
        <v>3531004</v>
      </c>
    </row>
    <row r="11" spans="1:12" s="3" customFormat="1" ht="13.5" customHeight="1">
      <c r="A11" s="499" t="s">
        <v>322</v>
      </c>
      <c r="B11" s="500"/>
      <c r="C11" s="500"/>
      <c r="D11" s="500"/>
      <c r="E11" s="500"/>
      <c r="F11" s="500"/>
      <c r="G11" s="500"/>
      <c r="H11" s="501"/>
      <c r="I11" s="4">
        <v>113</v>
      </c>
      <c r="J11" s="8"/>
      <c r="K11" s="60">
        <v>8357194</v>
      </c>
      <c r="L11" s="60">
        <v>10487748</v>
      </c>
    </row>
    <row r="12" spans="1:12" s="3" customFormat="1" ht="13.5" customHeight="1">
      <c r="A12" s="499" t="s">
        <v>669</v>
      </c>
      <c r="B12" s="500"/>
      <c r="C12" s="500"/>
      <c r="D12" s="500"/>
      <c r="E12" s="500"/>
      <c r="F12" s="500"/>
      <c r="G12" s="500"/>
      <c r="H12" s="501"/>
      <c r="I12" s="4">
        <v>114</v>
      </c>
      <c r="J12" s="8"/>
      <c r="K12" s="59">
        <f>K13+K14+K18+K22+K23+K24+K27+K28</f>
        <v>9456087</v>
      </c>
      <c r="L12" s="59">
        <f>L13+L14+L18+L22+L23+L24+L27+L28</f>
        <v>13500067</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2165179</v>
      </c>
      <c r="L14" s="59">
        <f>SUM(L15:L17)</f>
        <v>5802678</v>
      </c>
    </row>
    <row r="15" spans="1:12" s="3" customFormat="1" ht="13.5" customHeight="1">
      <c r="A15" s="477" t="s">
        <v>2463</v>
      </c>
      <c r="B15" s="478"/>
      <c r="C15" s="478"/>
      <c r="D15" s="478"/>
      <c r="E15" s="478"/>
      <c r="F15" s="478"/>
      <c r="G15" s="478"/>
      <c r="H15" s="479"/>
      <c r="I15" s="4">
        <v>117</v>
      </c>
      <c r="J15" s="8"/>
      <c r="K15" s="60">
        <v>698873</v>
      </c>
      <c r="L15" s="60">
        <v>795447</v>
      </c>
    </row>
    <row r="16" spans="1:12" s="3" customFormat="1" ht="13.5" customHeight="1">
      <c r="A16" s="477" t="s">
        <v>2464</v>
      </c>
      <c r="B16" s="478"/>
      <c r="C16" s="478"/>
      <c r="D16" s="478"/>
      <c r="E16" s="478"/>
      <c r="F16" s="478"/>
      <c r="G16" s="478"/>
      <c r="H16" s="479"/>
      <c r="I16" s="4">
        <v>118</v>
      </c>
      <c r="J16" s="8"/>
      <c r="K16" s="60">
        <v>7822</v>
      </c>
      <c r="L16" s="60">
        <v>143398</v>
      </c>
    </row>
    <row r="17" spans="1:12" s="3" customFormat="1" ht="13.5" customHeight="1">
      <c r="A17" s="477" t="s">
        <v>2663</v>
      </c>
      <c r="B17" s="478"/>
      <c r="C17" s="478"/>
      <c r="D17" s="478"/>
      <c r="E17" s="478"/>
      <c r="F17" s="478"/>
      <c r="G17" s="478"/>
      <c r="H17" s="479"/>
      <c r="I17" s="4">
        <v>119</v>
      </c>
      <c r="J17" s="8"/>
      <c r="K17" s="60">
        <v>1458484</v>
      </c>
      <c r="L17" s="60">
        <v>4863833</v>
      </c>
    </row>
    <row r="18" spans="1:12" s="3" customFormat="1" ht="13.5" customHeight="1">
      <c r="A18" s="499" t="s">
        <v>1269</v>
      </c>
      <c r="B18" s="500"/>
      <c r="C18" s="500"/>
      <c r="D18" s="500"/>
      <c r="E18" s="500"/>
      <c r="F18" s="500"/>
      <c r="G18" s="500"/>
      <c r="H18" s="501"/>
      <c r="I18" s="4">
        <v>120</v>
      </c>
      <c r="J18" s="8"/>
      <c r="K18" s="59">
        <f>SUM(K19:K21)</f>
        <v>4170124</v>
      </c>
      <c r="L18" s="59">
        <f>SUM(L19:L21)</f>
        <v>4395770</v>
      </c>
    </row>
    <row r="19" spans="1:12" s="3" customFormat="1" ht="13.5" customHeight="1">
      <c r="A19" s="477" t="s">
        <v>2664</v>
      </c>
      <c r="B19" s="478"/>
      <c r="C19" s="478"/>
      <c r="D19" s="478"/>
      <c r="E19" s="478"/>
      <c r="F19" s="478"/>
      <c r="G19" s="478"/>
      <c r="H19" s="479"/>
      <c r="I19" s="4">
        <v>121</v>
      </c>
      <c r="J19" s="8"/>
      <c r="K19" s="60">
        <v>2705350</v>
      </c>
      <c r="L19" s="60">
        <v>2798304</v>
      </c>
    </row>
    <row r="20" spans="1:12" s="3" customFormat="1" ht="13.5" customHeight="1">
      <c r="A20" s="477" t="s">
        <v>2665</v>
      </c>
      <c r="B20" s="478"/>
      <c r="C20" s="478"/>
      <c r="D20" s="478"/>
      <c r="E20" s="478"/>
      <c r="F20" s="478"/>
      <c r="G20" s="478"/>
      <c r="H20" s="479"/>
      <c r="I20" s="4">
        <v>122</v>
      </c>
      <c r="J20" s="8"/>
      <c r="K20" s="60">
        <v>913374</v>
      </c>
      <c r="L20" s="60">
        <v>967984</v>
      </c>
    </row>
    <row r="21" spans="1:12" s="3" customFormat="1" ht="13.5" customHeight="1">
      <c r="A21" s="477" t="s">
        <v>2666</v>
      </c>
      <c r="B21" s="478"/>
      <c r="C21" s="478"/>
      <c r="D21" s="478"/>
      <c r="E21" s="478"/>
      <c r="F21" s="478"/>
      <c r="G21" s="478"/>
      <c r="H21" s="479"/>
      <c r="I21" s="4">
        <v>123</v>
      </c>
      <c r="J21" s="8"/>
      <c r="K21" s="60">
        <v>551400</v>
      </c>
      <c r="L21" s="60">
        <v>629482</v>
      </c>
    </row>
    <row r="22" spans="1:12" s="3" customFormat="1" ht="13.5" customHeight="1">
      <c r="A22" s="499" t="s">
        <v>324</v>
      </c>
      <c r="B22" s="500"/>
      <c r="C22" s="500"/>
      <c r="D22" s="500"/>
      <c r="E22" s="500"/>
      <c r="F22" s="500"/>
      <c r="G22" s="500"/>
      <c r="H22" s="501"/>
      <c r="I22" s="4">
        <v>124</v>
      </c>
      <c r="J22" s="8"/>
      <c r="K22" s="60">
        <v>1945567</v>
      </c>
      <c r="L22" s="60">
        <v>2145585</v>
      </c>
    </row>
    <row r="23" spans="1:12" s="3" customFormat="1" ht="13.5" customHeight="1">
      <c r="A23" s="499" t="s">
        <v>325</v>
      </c>
      <c r="B23" s="500"/>
      <c r="C23" s="500"/>
      <c r="D23" s="500"/>
      <c r="E23" s="500"/>
      <c r="F23" s="500"/>
      <c r="G23" s="500"/>
      <c r="H23" s="501"/>
      <c r="I23" s="4">
        <v>125</v>
      </c>
      <c r="J23" s="8"/>
      <c r="K23" s="60">
        <v>1088381</v>
      </c>
      <c r="L23" s="60">
        <v>1104562</v>
      </c>
    </row>
    <row r="24" spans="1:12" s="3" customFormat="1" ht="13.5" customHeight="1">
      <c r="A24" s="499" t="s">
        <v>1270</v>
      </c>
      <c r="B24" s="500"/>
      <c r="C24" s="500"/>
      <c r="D24" s="500"/>
      <c r="E24" s="500"/>
      <c r="F24" s="500"/>
      <c r="G24" s="500"/>
      <c r="H24" s="501"/>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86836</v>
      </c>
      <c r="L28" s="60">
        <v>51472</v>
      </c>
    </row>
    <row r="29" spans="1:12" s="3" customFormat="1" ht="13.5" customHeight="1">
      <c r="A29" s="499" t="s">
        <v>53</v>
      </c>
      <c r="B29" s="500"/>
      <c r="C29" s="500"/>
      <c r="D29" s="500"/>
      <c r="E29" s="500"/>
      <c r="F29" s="500"/>
      <c r="G29" s="500"/>
      <c r="H29" s="501"/>
      <c r="I29" s="4">
        <v>131</v>
      </c>
      <c r="J29" s="8"/>
      <c r="K29" s="59">
        <f>SUM(K30:K34)</f>
        <v>14152</v>
      </c>
      <c r="L29" s="59">
        <f>SUM(L30:L34)</f>
        <v>7771</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14152</v>
      </c>
      <c r="L31" s="60">
        <v>7771</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458363</v>
      </c>
      <c r="L35" s="59">
        <f>SUM(L36:L39)</f>
        <v>521443</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458363</v>
      </c>
      <c r="L37" s="60">
        <v>521443</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c r="L42" s="60"/>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9939204</v>
      </c>
      <c r="L44" s="59">
        <f>L9+L29+L40+L42</f>
        <v>14026523</v>
      </c>
    </row>
    <row r="45" spans="1:12" s="3" customFormat="1" ht="13.5" customHeight="1">
      <c r="A45" s="499" t="s">
        <v>56</v>
      </c>
      <c r="B45" s="500"/>
      <c r="C45" s="500"/>
      <c r="D45" s="500"/>
      <c r="E45" s="500"/>
      <c r="F45" s="500"/>
      <c r="G45" s="500"/>
      <c r="H45" s="501"/>
      <c r="I45" s="4">
        <v>147</v>
      </c>
      <c r="J45" s="8"/>
      <c r="K45" s="59">
        <f>K12+K35+K41+K43</f>
        <v>9914450</v>
      </c>
      <c r="L45" s="59">
        <f>L12+L35+L41+L43</f>
        <v>14021510</v>
      </c>
    </row>
    <row r="46" spans="1:12" s="3" customFormat="1" ht="13.5" customHeight="1">
      <c r="A46" s="499" t="s">
        <v>1825</v>
      </c>
      <c r="B46" s="500"/>
      <c r="C46" s="500"/>
      <c r="D46" s="500"/>
      <c r="E46" s="500"/>
      <c r="F46" s="500"/>
      <c r="G46" s="500"/>
      <c r="H46" s="501"/>
      <c r="I46" s="4">
        <v>148</v>
      </c>
      <c r="J46" s="8"/>
      <c r="K46" s="59">
        <f>K44-K45</f>
        <v>24754</v>
      </c>
      <c r="L46" s="59">
        <f>L44-L45</f>
        <v>5013</v>
      </c>
    </row>
    <row r="47" spans="1:12" s="3" customFormat="1" ht="13.5" customHeight="1">
      <c r="A47" s="486" t="s">
        <v>58</v>
      </c>
      <c r="B47" s="487"/>
      <c r="C47" s="487"/>
      <c r="D47" s="487"/>
      <c r="E47" s="487"/>
      <c r="F47" s="487"/>
      <c r="G47" s="487"/>
      <c r="H47" s="488"/>
      <c r="I47" s="4">
        <v>149</v>
      </c>
      <c r="J47" s="8"/>
      <c r="K47" s="59">
        <f>IF(K44&gt;K45,K44-K45,0)</f>
        <v>24754</v>
      </c>
      <c r="L47" s="59">
        <f>IF(L44&gt;L45,L44-L45,0)</f>
        <v>5013</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c r="L49" s="60"/>
    </row>
    <row r="50" spans="1:12" s="3" customFormat="1" ht="13.5" customHeight="1">
      <c r="A50" s="499" t="s">
        <v>1826</v>
      </c>
      <c r="B50" s="500"/>
      <c r="C50" s="500"/>
      <c r="D50" s="500"/>
      <c r="E50" s="500"/>
      <c r="F50" s="500"/>
      <c r="G50" s="500"/>
      <c r="H50" s="501"/>
      <c r="I50" s="4">
        <v>152</v>
      </c>
      <c r="J50" s="8"/>
      <c r="K50" s="59">
        <f>K46-K49</f>
        <v>24754</v>
      </c>
      <c r="L50" s="59">
        <f>L46-L49</f>
        <v>5013</v>
      </c>
    </row>
    <row r="51" spans="1:12" s="3" customFormat="1" ht="13.5" customHeight="1">
      <c r="A51" s="486" t="s">
        <v>1021</v>
      </c>
      <c r="B51" s="487"/>
      <c r="C51" s="487"/>
      <c r="D51" s="487"/>
      <c r="E51" s="487"/>
      <c r="F51" s="487"/>
      <c r="G51" s="487"/>
      <c r="H51" s="488"/>
      <c r="I51" s="4">
        <v>153</v>
      </c>
      <c r="J51" s="8"/>
      <c r="K51" s="59">
        <f>IF(K50&gt;0,K50,0)</f>
        <v>24754</v>
      </c>
      <c r="L51" s="59">
        <f>IF(L50&gt;0,L50,0)</f>
        <v>5013</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25" activePane="bottomLeft" state="frozen"/>
      <selection pane="topLeft" activeCell="A1" sqref="A1"/>
      <selection pane="bottomLeft" activeCell="L140" sqref="L140"/>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1</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48188420009; ZRAČNA LUKA OSIJEK d.o.o.</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v>1175838</v>
      </c>
      <c r="L11" s="60">
        <v>979494</v>
      </c>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v>9432070</v>
      </c>
      <c r="L16" s="60">
        <v>11386635</v>
      </c>
    </row>
    <row r="17" spans="1:12" s="3" customFormat="1" ht="13.5" customHeight="1">
      <c r="A17" s="477" t="s">
        <v>455</v>
      </c>
      <c r="B17" s="478"/>
      <c r="C17" s="478"/>
      <c r="D17" s="478"/>
      <c r="E17" s="478"/>
      <c r="F17" s="478"/>
      <c r="G17" s="478"/>
      <c r="H17" s="478"/>
      <c r="I17" s="564"/>
      <c r="J17" s="4">
        <v>178</v>
      </c>
      <c r="K17" s="60">
        <v>92366372</v>
      </c>
      <c r="L17" s="60">
        <v>92431624</v>
      </c>
    </row>
    <row r="18" spans="1:12" s="3" customFormat="1" ht="13.5" customHeight="1">
      <c r="A18" s="477" t="s">
        <v>456</v>
      </c>
      <c r="B18" s="478"/>
      <c r="C18" s="478"/>
      <c r="D18" s="478"/>
      <c r="E18" s="478"/>
      <c r="F18" s="478"/>
      <c r="G18" s="478"/>
      <c r="H18" s="478"/>
      <c r="I18" s="564"/>
      <c r="J18" s="4">
        <v>179</v>
      </c>
      <c r="K18" s="60">
        <v>7662039</v>
      </c>
      <c r="L18" s="60">
        <v>7672337</v>
      </c>
    </row>
    <row r="19" spans="1:12" s="3" customFormat="1" ht="13.5" customHeight="1">
      <c r="A19" s="477" t="s">
        <v>457</v>
      </c>
      <c r="B19" s="478"/>
      <c r="C19" s="478"/>
      <c r="D19" s="478"/>
      <c r="E19" s="478"/>
      <c r="F19" s="478"/>
      <c r="G19" s="478"/>
      <c r="H19" s="478"/>
      <c r="I19" s="564"/>
      <c r="J19" s="4">
        <v>180</v>
      </c>
      <c r="K19" s="60">
        <v>10355168</v>
      </c>
      <c r="L19" s="60">
        <v>10488841</v>
      </c>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v>920797</v>
      </c>
      <c r="L22" s="60">
        <v>1535709</v>
      </c>
    </row>
    <row r="23" spans="1:12" s="3" customFormat="1" ht="13.5" customHeight="1">
      <c r="A23" s="477" t="s">
        <v>1236</v>
      </c>
      <c r="B23" s="478"/>
      <c r="C23" s="478"/>
      <c r="D23" s="478"/>
      <c r="E23" s="478"/>
      <c r="F23" s="478"/>
      <c r="G23" s="478"/>
      <c r="H23" s="478"/>
      <c r="I23" s="564"/>
      <c r="J23" s="4">
        <v>184</v>
      </c>
      <c r="K23" s="60">
        <v>69295</v>
      </c>
      <c r="L23" s="60">
        <v>69400</v>
      </c>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121981579</v>
      </c>
      <c r="L26" s="59">
        <f>SUM(L10:L25)</f>
        <v>124564040</v>
      </c>
    </row>
    <row r="27" spans="1:12" s="3" customFormat="1" ht="13.5" customHeight="1">
      <c r="A27" s="477" t="s">
        <v>1424</v>
      </c>
      <c r="B27" s="478"/>
      <c r="C27" s="478"/>
      <c r="D27" s="478"/>
      <c r="E27" s="478"/>
      <c r="F27" s="478"/>
      <c r="G27" s="478"/>
      <c r="H27" s="478"/>
      <c r="I27" s="564"/>
      <c r="J27" s="4">
        <v>188</v>
      </c>
      <c r="K27" s="60">
        <v>1175838</v>
      </c>
      <c r="L27" s="60">
        <v>979494</v>
      </c>
    </row>
    <row r="28" spans="1:12" s="3" customFormat="1" ht="13.5" customHeight="1">
      <c r="A28" s="477" t="s">
        <v>1425</v>
      </c>
      <c r="B28" s="478"/>
      <c r="C28" s="478"/>
      <c r="D28" s="478"/>
      <c r="E28" s="478"/>
      <c r="F28" s="478"/>
      <c r="G28" s="478"/>
      <c r="H28" s="478"/>
      <c r="I28" s="564"/>
      <c r="J28" s="4">
        <v>189</v>
      </c>
      <c r="K28" s="60">
        <v>520083</v>
      </c>
      <c r="L28" s="60">
        <v>384184</v>
      </c>
    </row>
    <row r="29" spans="1:12" s="3" customFormat="1" ht="13.5" customHeight="1">
      <c r="A29" s="477" t="s">
        <v>1427</v>
      </c>
      <c r="B29" s="478"/>
      <c r="C29" s="478"/>
      <c r="D29" s="478"/>
      <c r="E29" s="478"/>
      <c r="F29" s="478"/>
      <c r="G29" s="478"/>
      <c r="H29" s="478"/>
      <c r="I29" s="564"/>
      <c r="J29" s="4">
        <v>190</v>
      </c>
      <c r="K29" s="60">
        <v>16615922</v>
      </c>
      <c r="L29" s="60">
        <v>16615922</v>
      </c>
    </row>
    <row r="30" spans="1:12" s="3" customFormat="1" ht="13.5" customHeight="1">
      <c r="A30" s="477" t="s">
        <v>1426</v>
      </c>
      <c r="B30" s="478"/>
      <c r="C30" s="478"/>
      <c r="D30" s="478"/>
      <c r="E30" s="478"/>
      <c r="F30" s="478"/>
      <c r="G30" s="478"/>
      <c r="H30" s="478"/>
      <c r="I30" s="564"/>
      <c r="J30" s="4">
        <v>191</v>
      </c>
      <c r="K30" s="60">
        <v>12132410</v>
      </c>
      <c r="L30" s="60">
        <v>11924711</v>
      </c>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v>75750450</v>
      </c>
      <c r="L33" s="60">
        <v>75750450</v>
      </c>
    </row>
    <row r="34" spans="1:12" s="3" customFormat="1" ht="13.5" customHeight="1">
      <c r="A34" s="477" t="s">
        <v>2429</v>
      </c>
      <c r="B34" s="478"/>
      <c r="C34" s="478"/>
      <c r="D34" s="478"/>
      <c r="E34" s="478"/>
      <c r="F34" s="478"/>
      <c r="G34" s="478"/>
      <c r="H34" s="478"/>
      <c r="I34" s="564"/>
      <c r="J34" s="4">
        <v>195</v>
      </c>
      <c r="K34" s="60">
        <v>59490741</v>
      </c>
      <c r="L34" s="60">
        <v>58542885</v>
      </c>
    </row>
    <row r="35" spans="1:12" s="3" customFormat="1" ht="13.5" customHeight="1">
      <c r="A35" s="477" t="s">
        <v>2430</v>
      </c>
      <c r="B35" s="478"/>
      <c r="C35" s="478"/>
      <c r="D35" s="478"/>
      <c r="E35" s="478"/>
      <c r="F35" s="478"/>
      <c r="G35" s="478"/>
      <c r="H35" s="478"/>
      <c r="I35" s="564"/>
      <c r="J35" s="4">
        <v>196</v>
      </c>
      <c r="K35" s="60">
        <v>2336686</v>
      </c>
      <c r="L35" s="60">
        <v>2336686</v>
      </c>
    </row>
    <row r="36" spans="1:12" s="3" customFormat="1" ht="13.5" customHeight="1">
      <c r="A36" s="477" t="s">
        <v>1350</v>
      </c>
      <c r="B36" s="478"/>
      <c r="C36" s="478"/>
      <c r="D36" s="478"/>
      <c r="E36" s="478"/>
      <c r="F36" s="478"/>
      <c r="G36" s="478"/>
      <c r="H36" s="478"/>
      <c r="I36" s="564"/>
      <c r="J36" s="4">
        <v>197</v>
      </c>
      <c r="K36" s="60">
        <v>856644</v>
      </c>
      <c r="L36" s="60">
        <v>564558</v>
      </c>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168878774</v>
      </c>
      <c r="L45" s="59">
        <f>SUM(L27:L44)</f>
        <v>167098890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v>69400</v>
      </c>
      <c r="L47" s="60">
        <v>69400</v>
      </c>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69400</v>
      </c>
      <c r="L51" s="59">
        <f>SUM(L46:L50)</f>
        <v>69400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v>1856923</v>
      </c>
      <c r="L68" s="60">
        <v>1250000</v>
      </c>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1856923</v>
      </c>
      <c r="L72" s="59">
        <f>SUM(L67:L71)</f>
        <v>1250000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v>1567858</v>
      </c>
      <c r="L82" s="60">
        <v>3531004</v>
      </c>
    </row>
    <row r="83" spans="1:12" s="3" customFormat="1" ht="13.5" customHeight="1">
      <c r="A83" s="477" t="s">
        <v>1054</v>
      </c>
      <c r="B83" s="478"/>
      <c r="C83" s="478"/>
      <c r="D83" s="478"/>
      <c r="E83" s="478"/>
      <c r="F83" s="478"/>
      <c r="G83" s="478"/>
      <c r="H83" s="478"/>
      <c r="I83" s="564"/>
      <c r="J83" s="4">
        <v>242</v>
      </c>
      <c r="K83" s="60">
        <v>16128</v>
      </c>
      <c r="L83" s="60">
        <v>28729</v>
      </c>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v>168337</v>
      </c>
      <c r="L89" s="60">
        <v>174622</v>
      </c>
    </row>
    <row r="90" spans="1:12" s="3" customFormat="1" ht="13.5" customHeight="1">
      <c r="A90" s="477" t="s">
        <v>1061</v>
      </c>
      <c r="B90" s="478"/>
      <c r="C90" s="478"/>
      <c r="D90" s="478"/>
      <c r="E90" s="478"/>
      <c r="F90" s="478"/>
      <c r="G90" s="478"/>
      <c r="H90" s="478"/>
      <c r="I90" s="564"/>
      <c r="J90" s="4">
        <v>249</v>
      </c>
      <c r="K90" s="60">
        <v>328410</v>
      </c>
      <c r="L90" s="60">
        <v>413135</v>
      </c>
    </row>
    <row r="91" spans="1:14" s="3" customFormat="1" ht="13.5" customHeight="1">
      <c r="A91" s="499" t="s">
        <v>69</v>
      </c>
      <c r="B91" s="500"/>
      <c r="C91" s="500"/>
      <c r="D91" s="500"/>
      <c r="E91" s="500"/>
      <c r="F91" s="500"/>
      <c r="G91" s="500"/>
      <c r="H91" s="500"/>
      <c r="I91" s="570"/>
      <c r="J91" s="4">
        <v>250</v>
      </c>
      <c r="K91" s="59">
        <f>SUM(K81:K90)</f>
        <v>2080733</v>
      </c>
      <c r="L91" s="59">
        <f>SUM(L81:L90)</f>
        <v>4147490</v>
      </c>
      <c r="N91" s="213"/>
    </row>
    <row r="92" spans="1:14" s="3" customFormat="1" ht="13.5" customHeight="1">
      <c r="A92" s="477" t="s">
        <v>1062</v>
      </c>
      <c r="B92" s="478"/>
      <c r="C92" s="478"/>
      <c r="D92" s="478"/>
      <c r="E92" s="478"/>
      <c r="F92" s="478"/>
      <c r="G92" s="478"/>
      <c r="H92" s="478"/>
      <c r="I92" s="564"/>
      <c r="J92" s="4">
        <v>251</v>
      </c>
      <c r="K92" s="60">
        <v>6353757</v>
      </c>
      <c r="L92" s="60">
        <v>10384037</v>
      </c>
      <c r="N92" s="213"/>
    </row>
    <row r="93" spans="1:14" s="3" customFormat="1" ht="13.5" customHeight="1">
      <c r="A93" s="477" t="s">
        <v>1063</v>
      </c>
      <c r="B93" s="478"/>
      <c r="C93" s="478"/>
      <c r="D93" s="478"/>
      <c r="E93" s="478"/>
      <c r="F93" s="478"/>
      <c r="G93" s="478"/>
      <c r="H93" s="478"/>
      <c r="I93" s="564"/>
      <c r="J93" s="4">
        <v>252</v>
      </c>
      <c r="K93" s="60">
        <v>328410</v>
      </c>
      <c r="L93" s="60">
        <v>413135</v>
      </c>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6682167</v>
      </c>
      <c r="L96" s="59">
        <f>SUM(L92:L95)</f>
        <v>10797172</v>
      </c>
      <c r="N96" s="213"/>
    </row>
    <row r="97" spans="1:14" s="3" customFormat="1" ht="13.5" customHeight="1">
      <c r="A97" s="477" t="s">
        <v>0</v>
      </c>
      <c r="B97" s="478"/>
      <c r="C97" s="478"/>
      <c r="D97" s="478"/>
      <c r="E97" s="478"/>
      <c r="F97" s="478"/>
      <c r="G97" s="478"/>
      <c r="H97" s="478"/>
      <c r="I97" s="564"/>
      <c r="J97" s="4">
        <v>256</v>
      </c>
      <c r="K97" s="60">
        <v>983849</v>
      </c>
      <c r="L97" s="60">
        <v>3531004</v>
      </c>
      <c r="N97" s="213"/>
    </row>
    <row r="98" spans="1:14" s="3" customFormat="1" ht="13.5" customHeight="1">
      <c r="A98" s="477" t="s">
        <v>1</v>
      </c>
      <c r="B98" s="478"/>
      <c r="C98" s="478"/>
      <c r="D98" s="478"/>
      <c r="E98" s="478"/>
      <c r="F98" s="478"/>
      <c r="G98" s="478"/>
      <c r="H98" s="478"/>
      <c r="I98" s="564"/>
      <c r="J98" s="4">
        <v>257</v>
      </c>
      <c r="K98" s="60">
        <v>584009</v>
      </c>
      <c r="L98" s="60"/>
      <c r="N98" s="213"/>
    </row>
    <row r="99" spans="1:14" s="3" customFormat="1" ht="13.5" customHeight="1">
      <c r="A99" s="499" t="s">
        <v>70</v>
      </c>
      <c r="B99" s="500"/>
      <c r="C99" s="500"/>
      <c r="D99" s="500"/>
      <c r="E99" s="500"/>
      <c r="F99" s="500"/>
      <c r="G99" s="500"/>
      <c r="H99" s="500"/>
      <c r="I99" s="570"/>
      <c r="J99" s="4">
        <v>258</v>
      </c>
      <c r="K99" s="59">
        <f>SUM(K97:K98)</f>
        <v>1567858</v>
      </c>
      <c r="L99" s="59">
        <f>SUM(L97:L98)</f>
        <v>3531004</v>
      </c>
      <c r="N99" s="213"/>
    </row>
    <row r="100" spans="1:12" s="3" customFormat="1" ht="13.5" customHeight="1">
      <c r="A100" s="477" t="s">
        <v>2</v>
      </c>
      <c r="B100" s="478"/>
      <c r="C100" s="478"/>
      <c r="D100" s="478"/>
      <c r="E100" s="478"/>
      <c r="F100" s="478"/>
      <c r="G100" s="478"/>
      <c r="H100" s="478"/>
      <c r="I100" s="581"/>
      <c r="J100" s="4">
        <v>259</v>
      </c>
      <c r="K100" s="60">
        <v>462781</v>
      </c>
      <c r="L100" s="60">
        <v>544665</v>
      </c>
    </row>
    <row r="101" spans="1:12" s="3" customFormat="1" ht="13.5" customHeight="1">
      <c r="A101" s="477" t="s">
        <v>3</v>
      </c>
      <c r="B101" s="478"/>
      <c r="C101" s="478"/>
      <c r="D101" s="478"/>
      <c r="E101" s="478"/>
      <c r="F101" s="478"/>
      <c r="G101" s="478"/>
      <c r="H101" s="478"/>
      <c r="I101" s="564"/>
      <c r="J101" s="4">
        <v>260</v>
      </c>
      <c r="K101" s="60">
        <v>147155</v>
      </c>
      <c r="L101" s="60">
        <v>205160</v>
      </c>
    </row>
    <row r="102" spans="1:12" s="3" customFormat="1" ht="27.75" customHeight="1">
      <c r="A102" s="477" t="s">
        <v>4</v>
      </c>
      <c r="B102" s="478"/>
      <c r="C102" s="478"/>
      <c r="D102" s="478"/>
      <c r="E102" s="478"/>
      <c r="F102" s="478"/>
      <c r="G102" s="478"/>
      <c r="H102" s="478"/>
      <c r="I102" s="564"/>
      <c r="J102" s="4">
        <v>261</v>
      </c>
      <c r="K102" s="60">
        <v>7822</v>
      </c>
      <c r="L102" s="60">
        <v>4321</v>
      </c>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v>3584</v>
      </c>
      <c r="L108" s="60">
        <v>8525</v>
      </c>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v>100064</v>
      </c>
      <c r="L110" s="60">
        <v>109478</v>
      </c>
    </row>
    <row r="111" spans="1:12" s="3" customFormat="1" ht="13.5" customHeight="1">
      <c r="A111" s="477" t="s">
        <v>948</v>
      </c>
      <c r="B111" s="478"/>
      <c r="C111" s="478"/>
      <c r="D111" s="478"/>
      <c r="E111" s="478"/>
      <c r="F111" s="478"/>
      <c r="G111" s="478"/>
      <c r="H111" s="478"/>
      <c r="I111" s="564"/>
      <c r="J111" s="4">
        <v>270</v>
      </c>
      <c r="K111" s="60">
        <v>6176</v>
      </c>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v>668678</v>
      </c>
      <c r="L115" s="60">
        <v>522029</v>
      </c>
    </row>
    <row r="116" spans="1:12" s="3" customFormat="1" ht="13.5" customHeight="1">
      <c r="A116" s="477" t="s">
        <v>2293</v>
      </c>
      <c r="B116" s="478"/>
      <c r="C116" s="478"/>
      <c r="D116" s="478"/>
      <c r="E116" s="478"/>
      <c r="F116" s="478"/>
      <c r="G116" s="478"/>
      <c r="H116" s="478"/>
      <c r="I116" s="564"/>
      <c r="J116" s="4">
        <v>275</v>
      </c>
      <c r="K116" s="60">
        <v>21836</v>
      </c>
      <c r="L116" s="60">
        <v>138000</v>
      </c>
    </row>
    <row r="117" spans="1:12" s="3" customFormat="1" ht="27.75" customHeight="1">
      <c r="A117" s="477" t="s">
        <v>25</v>
      </c>
      <c r="B117" s="478"/>
      <c r="C117" s="478"/>
      <c r="D117" s="478"/>
      <c r="E117" s="478"/>
      <c r="F117" s="478"/>
      <c r="G117" s="478"/>
      <c r="H117" s="478"/>
      <c r="I117" s="564"/>
      <c r="J117" s="4">
        <v>276</v>
      </c>
      <c r="K117" s="60">
        <v>4770</v>
      </c>
      <c r="L117" s="60">
        <v>10280</v>
      </c>
    </row>
    <row r="118" spans="1:12" s="3" customFormat="1" ht="13.5" customHeight="1">
      <c r="A118" s="499" t="s">
        <v>72</v>
      </c>
      <c r="B118" s="500"/>
      <c r="C118" s="500"/>
      <c r="D118" s="500"/>
      <c r="E118" s="500"/>
      <c r="F118" s="500"/>
      <c r="G118" s="500"/>
      <c r="H118" s="500"/>
      <c r="I118" s="570"/>
      <c r="J118" s="4">
        <v>277</v>
      </c>
      <c r="K118" s="59">
        <f>SUM(K100:K117)</f>
        <v>1422866</v>
      </c>
      <c r="L118" s="59">
        <f>SUM(L100:L117)</f>
        <v>1542458</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v>433887</v>
      </c>
      <c r="L128" s="60">
        <v>521443</v>
      </c>
    </row>
    <row r="129" spans="1:12" s="3" customFormat="1" ht="27.75" customHeight="1">
      <c r="A129" s="477" t="s">
        <v>138</v>
      </c>
      <c r="B129" s="478"/>
      <c r="C129" s="478"/>
      <c r="D129" s="478"/>
      <c r="E129" s="478"/>
      <c r="F129" s="478"/>
      <c r="G129" s="478"/>
      <c r="H129" s="478"/>
      <c r="I129" s="564"/>
      <c r="J129" s="4">
        <v>288</v>
      </c>
      <c r="K129" s="60">
        <v>79112</v>
      </c>
      <c r="L129" s="60">
        <v>82530</v>
      </c>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v>517720</v>
      </c>
      <c r="L132" s="60">
        <v>765147</v>
      </c>
    </row>
    <row r="133" spans="1:12" s="3" customFormat="1" ht="13.5" customHeight="1">
      <c r="A133" s="477" t="s">
        <v>142</v>
      </c>
      <c r="B133" s="478"/>
      <c r="C133" s="478"/>
      <c r="D133" s="478"/>
      <c r="E133" s="478"/>
      <c r="F133" s="478"/>
      <c r="G133" s="478"/>
      <c r="H133" s="478"/>
      <c r="I133" s="564"/>
      <c r="J133" s="4">
        <v>292</v>
      </c>
      <c r="K133" s="60">
        <v>19091</v>
      </c>
      <c r="L133" s="60"/>
    </row>
    <row r="134" spans="1:12" s="3" customFormat="1" ht="13.5" customHeight="1">
      <c r="A134" s="502" t="s">
        <v>75</v>
      </c>
      <c r="B134" s="503"/>
      <c r="C134" s="503"/>
      <c r="D134" s="503"/>
      <c r="E134" s="503"/>
      <c r="F134" s="503"/>
      <c r="G134" s="503"/>
      <c r="H134" s="503"/>
      <c r="I134" s="574"/>
      <c r="J134" s="4">
        <v>293</v>
      </c>
      <c r="K134" s="71">
        <f>SUM(K128:K133)</f>
        <v>1049810</v>
      </c>
      <c r="L134" s="71">
        <f>SUM(L128:L133)</f>
        <v>1369120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v>43</v>
      </c>
      <c r="L136" s="58">
        <v>47</v>
      </c>
    </row>
    <row r="137" spans="1:12" s="3" customFormat="1" ht="13.5" customHeight="1">
      <c r="A137" s="477" t="s">
        <v>144</v>
      </c>
      <c r="B137" s="478"/>
      <c r="C137" s="478"/>
      <c r="D137" s="478"/>
      <c r="E137" s="478"/>
      <c r="F137" s="478"/>
      <c r="G137" s="478"/>
      <c r="H137" s="478"/>
      <c r="I137" s="564"/>
      <c r="J137" s="4">
        <v>295</v>
      </c>
      <c r="K137" s="60">
        <v>43</v>
      </c>
      <c r="L137" s="60">
        <v>44</v>
      </c>
    </row>
    <row r="138" spans="1:12" s="3" customFormat="1" ht="13.5" customHeight="1">
      <c r="A138" s="477" t="s">
        <v>145</v>
      </c>
      <c r="B138" s="478"/>
      <c r="C138" s="478"/>
      <c r="D138" s="478"/>
      <c r="E138" s="478"/>
      <c r="F138" s="478"/>
      <c r="G138" s="478"/>
      <c r="H138" s="478"/>
      <c r="I138" s="564"/>
      <c r="J138" s="4">
        <v>296</v>
      </c>
      <c r="K138" s="60"/>
      <c r="L138" s="60">
        <v>1</v>
      </c>
    </row>
    <row r="139" spans="1:12" s="3" customFormat="1" ht="13.5" customHeight="1">
      <c r="A139" s="477" t="s">
        <v>146</v>
      </c>
      <c r="B139" s="478"/>
      <c r="C139" s="478"/>
      <c r="D139" s="478"/>
      <c r="E139" s="478"/>
      <c r="F139" s="478"/>
      <c r="G139" s="478"/>
      <c r="H139" s="478"/>
      <c r="I139" s="564"/>
      <c r="J139" s="4">
        <v>297</v>
      </c>
      <c r="K139" s="60">
        <v>77390</v>
      </c>
      <c r="L139" s="60">
        <v>77981</v>
      </c>
    </row>
    <row r="140" spans="1:12" s="3" customFormat="1" ht="13.5" customHeight="1">
      <c r="A140" s="477" t="s">
        <v>147</v>
      </c>
      <c r="B140" s="478"/>
      <c r="C140" s="478"/>
      <c r="D140" s="478"/>
      <c r="E140" s="478"/>
      <c r="F140" s="478"/>
      <c r="G140" s="478"/>
      <c r="H140" s="478"/>
      <c r="I140" s="564"/>
      <c r="J140" s="4">
        <v>298</v>
      </c>
      <c r="K140" s="60">
        <v>2088</v>
      </c>
      <c r="L140" s="60">
        <v>2088</v>
      </c>
    </row>
    <row r="141" spans="1:12" s="3" customFormat="1" ht="13.5" customHeight="1">
      <c r="A141" s="499" t="s">
        <v>76</v>
      </c>
      <c r="B141" s="500"/>
      <c r="C141" s="500"/>
      <c r="D141" s="500"/>
      <c r="E141" s="500"/>
      <c r="F141" s="500"/>
      <c r="G141" s="500"/>
      <c r="H141" s="500"/>
      <c r="I141" s="570"/>
      <c r="J141" s="4">
        <v>299</v>
      </c>
      <c r="K141" s="59">
        <f>SUM(K136:K140)</f>
        <v>79564</v>
      </c>
      <c r="L141" s="59">
        <f>SUM(L136:L140)</f>
        <v>80161</v>
      </c>
    </row>
    <row r="142" spans="1:12" s="3" customFormat="1" ht="13.5" customHeight="1">
      <c r="A142" s="477" t="s">
        <v>148</v>
      </c>
      <c r="B142" s="478"/>
      <c r="C142" s="478"/>
      <c r="D142" s="478"/>
      <c r="E142" s="478"/>
      <c r="F142" s="478"/>
      <c r="G142" s="478"/>
      <c r="H142" s="478"/>
      <c r="I142" s="564"/>
      <c r="J142" s="4">
        <v>300</v>
      </c>
      <c r="K142" s="60">
        <v>1</v>
      </c>
      <c r="L142" s="60">
        <v>1</v>
      </c>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48188420009; ZRAČNA LUKA OSIJEK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48188420009; ZRAČNA LUKA OSIJEK d.o.o.</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Krasnodar Brlekovic</cp:lastModifiedBy>
  <cp:lastPrinted>2015-03-26T14:06:19Z</cp:lastPrinted>
  <dcterms:created xsi:type="dcterms:W3CDTF">2008-10-17T11:51:54Z</dcterms:created>
  <dcterms:modified xsi:type="dcterms:W3CDTF">2020-07-13T11:54:09Z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